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96" activeTab="1"/>
  </bookViews>
  <sheets>
    <sheet name="Instrucciones" sheetId="10" r:id="rId1"/>
    <sheet name="Toma de datos y resultado" sheetId="4" r:id="rId2"/>
    <sheet name="Base de datos" sheetId="2" r:id="rId3"/>
    <sheet name="Cálculo conocidas" sheetId="9" state="hidden" r:id="rId4"/>
    <sheet name="Estimación mediciones" sheetId="1" state="hidden" r:id="rId5"/>
    <sheet name="Cálculo estimadas" sheetId="3" state="hidden" r:id="rId6"/>
    <sheet name="Secciones de firme" sheetId="5" state="hidden" r:id="rId7"/>
    <sheet name="Anchura" sheetId="7" state="hidden" r:id="rId8"/>
    <sheet name="Movimiento de tierras" sheetId="8" state="hidden" r:id="rId9"/>
    <sheet name="Auxiliar" sheetId="6" state="hidden" r:id="rId10"/>
  </sheets>
  <calcPr calcId="145621"/>
</workbook>
</file>

<file path=xl/calcChain.xml><?xml version="1.0" encoding="utf-8"?>
<calcChain xmlns="http://schemas.openxmlformats.org/spreadsheetml/2006/main">
  <c r="C58" i="5" l="1"/>
  <c r="C49" i="9" l="1"/>
  <c r="C46" i="9"/>
  <c r="C43" i="9"/>
  <c r="C40" i="9"/>
  <c r="C39" i="9"/>
  <c r="C38" i="9"/>
  <c r="C37" i="9"/>
  <c r="C36" i="9"/>
  <c r="C35" i="9"/>
  <c r="C34" i="9"/>
  <c r="C31" i="9"/>
  <c r="C30" i="9"/>
  <c r="C29" i="9"/>
  <c r="C28" i="9"/>
  <c r="B49" i="9"/>
  <c r="B46" i="9"/>
  <c r="B43" i="9"/>
  <c r="B40" i="9"/>
  <c r="B39" i="9"/>
  <c r="B38" i="9"/>
  <c r="B37" i="9"/>
  <c r="B36" i="9"/>
  <c r="B35" i="9"/>
  <c r="B34" i="9"/>
  <c r="B31" i="9"/>
  <c r="B30" i="9"/>
  <c r="B29" i="9"/>
  <c r="B28" i="9"/>
  <c r="C27" i="9"/>
  <c r="C26" i="9"/>
  <c r="C25" i="9"/>
  <c r="C22" i="9"/>
  <c r="C19" i="9"/>
  <c r="C18" i="9"/>
  <c r="C17" i="9"/>
  <c r="C16" i="9"/>
  <c r="C15" i="9"/>
  <c r="C14" i="9"/>
  <c r="C13" i="9"/>
  <c r="C10" i="9"/>
  <c r="C9" i="9"/>
  <c r="C8" i="9"/>
  <c r="C7" i="9"/>
  <c r="C6" i="9"/>
  <c r="C5" i="9"/>
  <c r="C4" i="9"/>
  <c r="D43" i="9" l="1"/>
  <c r="D46" i="9"/>
  <c r="D49" i="9"/>
  <c r="B5" i="9"/>
  <c r="B6" i="9"/>
  <c r="B7" i="9"/>
  <c r="B8" i="9"/>
  <c r="B9" i="9"/>
  <c r="B10" i="9"/>
  <c r="B13" i="9"/>
  <c r="B14" i="9"/>
  <c r="B15" i="9"/>
  <c r="B16" i="9"/>
  <c r="B17" i="9"/>
  <c r="B18" i="9"/>
  <c r="B19" i="9"/>
  <c r="B22" i="9"/>
  <c r="B25" i="9"/>
  <c r="B26" i="9"/>
  <c r="B27" i="9"/>
  <c r="F49" i="9" l="1"/>
  <c r="E49" i="9"/>
  <c r="F46" i="9"/>
  <c r="E46" i="9"/>
  <c r="F43" i="9"/>
  <c r="E43" i="9"/>
  <c r="D5" i="9"/>
  <c r="D6" i="9"/>
  <c r="D7" i="9"/>
  <c r="D8" i="9"/>
  <c r="D9" i="9"/>
  <c r="D10" i="9"/>
  <c r="D13" i="9"/>
  <c r="D14" i="9"/>
  <c r="D15" i="9"/>
  <c r="D16" i="9"/>
  <c r="D17" i="9"/>
  <c r="D18" i="9"/>
  <c r="D19" i="9"/>
  <c r="D22" i="9"/>
  <c r="D25" i="9"/>
  <c r="D26" i="9"/>
  <c r="D27" i="9"/>
  <c r="D28" i="9"/>
  <c r="D29" i="9"/>
  <c r="D30" i="9"/>
  <c r="D31" i="9"/>
  <c r="D34" i="9"/>
  <c r="D35" i="9"/>
  <c r="D36" i="9"/>
  <c r="D37" i="9"/>
  <c r="D38" i="9"/>
  <c r="D39" i="9"/>
  <c r="D40" i="9"/>
  <c r="D4" i="9"/>
  <c r="F4" i="9" s="1"/>
  <c r="B4" i="9"/>
  <c r="F37" i="9" l="1"/>
  <c r="E37" i="9"/>
  <c r="F31" i="9"/>
  <c r="E31" i="9"/>
  <c r="F27" i="9"/>
  <c r="E27" i="9"/>
  <c r="F19" i="9"/>
  <c r="E19" i="9"/>
  <c r="F15" i="9"/>
  <c r="E15" i="9"/>
  <c r="F9" i="9"/>
  <c r="E9" i="9"/>
  <c r="F5" i="9"/>
  <c r="E5" i="9"/>
  <c r="E40" i="9"/>
  <c r="F40" i="9"/>
  <c r="E36" i="9"/>
  <c r="F36" i="9"/>
  <c r="E30" i="9"/>
  <c r="F30" i="9"/>
  <c r="E26" i="9"/>
  <c r="F26" i="9"/>
  <c r="E18" i="9"/>
  <c r="F18" i="9"/>
  <c r="E14" i="9"/>
  <c r="F14" i="9"/>
  <c r="E8" i="9"/>
  <c r="F8" i="9"/>
  <c r="F39" i="9"/>
  <c r="E39" i="9"/>
  <c r="F35" i="9"/>
  <c r="E35" i="9"/>
  <c r="F29" i="9"/>
  <c r="E29" i="9"/>
  <c r="F25" i="9"/>
  <c r="E25" i="9"/>
  <c r="F17" i="9"/>
  <c r="E17" i="9"/>
  <c r="F13" i="9"/>
  <c r="E13" i="9"/>
  <c r="F7" i="9"/>
  <c r="E7" i="9"/>
  <c r="F38" i="9"/>
  <c r="E38" i="9"/>
  <c r="F34" i="9"/>
  <c r="E34" i="9"/>
  <c r="F28" i="9"/>
  <c r="E28" i="9"/>
  <c r="F22" i="9"/>
  <c r="E22" i="9"/>
  <c r="F16" i="9"/>
  <c r="E16" i="9"/>
  <c r="F10" i="9"/>
  <c r="E10" i="9"/>
  <c r="F6" i="9"/>
  <c r="E6" i="9"/>
  <c r="E4" i="9"/>
  <c r="C2" i="8"/>
  <c r="I5" i="9" l="1"/>
  <c r="I4" i="9"/>
  <c r="H34" i="4" s="1"/>
  <c r="C4" i="8"/>
  <c r="H36" i="4" l="1"/>
  <c r="I7" i="9"/>
  <c r="H38" i="4" s="1"/>
  <c r="F5" i="8"/>
  <c r="B4" i="1" s="1"/>
  <c r="F4" i="8"/>
  <c r="B3" i="1" s="1"/>
  <c r="C7" i="8"/>
  <c r="F7" i="8" s="1"/>
  <c r="B7" i="1" s="1"/>
  <c r="C10" i="8" l="1"/>
  <c r="B11" i="1" s="1"/>
  <c r="F8" i="8"/>
  <c r="B8" i="1" s="1"/>
  <c r="C10" i="7"/>
  <c r="G7" i="7"/>
  <c r="F7" i="7"/>
  <c r="E7" i="7"/>
  <c r="D7" i="7"/>
  <c r="E6" i="7"/>
  <c r="D6" i="7"/>
  <c r="E5" i="7"/>
  <c r="D5" i="7"/>
  <c r="C5" i="7"/>
  <c r="B14" i="1" l="1"/>
  <c r="C15" i="3" s="1"/>
  <c r="B23" i="1"/>
  <c r="B17" i="1"/>
  <c r="B20" i="1"/>
  <c r="R28" i="5" l="1"/>
  <c r="R27" i="5"/>
  <c r="R25" i="5"/>
  <c r="R24" i="5"/>
  <c r="R23" i="5"/>
  <c r="R22" i="5"/>
  <c r="P28" i="5"/>
  <c r="P27" i="5"/>
  <c r="P25" i="5"/>
  <c r="P24" i="5"/>
  <c r="P23" i="5"/>
  <c r="P22" i="5"/>
  <c r="N28" i="5"/>
  <c r="N27" i="5"/>
  <c r="N25" i="5"/>
  <c r="N24" i="5"/>
  <c r="N23" i="5"/>
  <c r="N22" i="5"/>
  <c r="L27" i="5"/>
  <c r="L28" i="5"/>
  <c r="L25" i="5"/>
  <c r="L24" i="5"/>
  <c r="L23" i="5"/>
  <c r="L22" i="5"/>
  <c r="J28" i="5"/>
  <c r="J27" i="5"/>
  <c r="J26" i="5"/>
  <c r="J25" i="5"/>
  <c r="J24" i="5"/>
  <c r="J23" i="5"/>
  <c r="J22" i="5"/>
  <c r="H28" i="5"/>
  <c r="H27" i="5"/>
  <c r="H26" i="5"/>
  <c r="H25" i="5"/>
  <c r="H24" i="5"/>
  <c r="F29" i="5"/>
  <c r="F28" i="5"/>
  <c r="F27" i="5"/>
  <c r="D29" i="5"/>
  <c r="D28" i="5"/>
  <c r="D27" i="5"/>
  <c r="E41" i="5" l="1"/>
  <c r="I39" i="5"/>
  <c r="J40" i="5"/>
  <c r="G41" i="5"/>
  <c r="C41" i="5"/>
  <c r="F41" i="5"/>
  <c r="G40" i="5"/>
  <c r="H39" i="5"/>
  <c r="H41" i="5"/>
  <c r="I40" i="5"/>
  <c r="J39" i="5"/>
  <c r="J41" i="5"/>
  <c r="D41" i="5"/>
  <c r="F39" i="5"/>
  <c r="F40" i="5"/>
  <c r="E40" i="5"/>
  <c r="G39" i="5"/>
  <c r="H40" i="5"/>
  <c r="I41" i="5"/>
  <c r="L15" i="5"/>
  <c r="G36" i="5" s="1"/>
  <c r="J15" i="5"/>
  <c r="F36" i="5" s="1"/>
  <c r="H15" i="5"/>
  <c r="E36" i="5" s="1"/>
  <c r="H11" i="5"/>
  <c r="H10" i="5"/>
  <c r="H9" i="5"/>
  <c r="F16" i="5"/>
  <c r="F15" i="5"/>
  <c r="F12" i="5"/>
  <c r="F11" i="5"/>
  <c r="F10" i="5"/>
  <c r="F9" i="5"/>
  <c r="F5" i="5"/>
  <c r="F4" i="5"/>
  <c r="F3" i="5"/>
  <c r="D17" i="5"/>
  <c r="D16" i="5"/>
  <c r="D15" i="5"/>
  <c r="D14" i="5"/>
  <c r="D13" i="5"/>
  <c r="D12" i="5"/>
  <c r="D11" i="5"/>
  <c r="D10" i="5"/>
  <c r="D9" i="5"/>
  <c r="D8" i="5"/>
  <c r="G53" i="5" l="1"/>
  <c r="F47" i="5"/>
  <c r="G50" i="5"/>
  <c r="D34" i="5"/>
  <c r="F53" i="5"/>
  <c r="E46" i="5"/>
  <c r="G46" i="5"/>
  <c r="G51" i="5"/>
  <c r="C36" i="5"/>
  <c r="C46" i="5" s="1"/>
  <c r="E35" i="5"/>
  <c r="E51" i="5" s="1"/>
  <c r="E47" i="5"/>
  <c r="F52" i="5"/>
  <c r="F48" i="5"/>
  <c r="F49" i="5"/>
  <c r="F51" i="5"/>
  <c r="G47" i="5"/>
  <c r="F46" i="5"/>
  <c r="C35" i="5"/>
  <c r="D35" i="5"/>
  <c r="D36" i="5"/>
  <c r="G52" i="5"/>
  <c r="B15" i="3" s="1"/>
  <c r="D15" i="3" s="1"/>
  <c r="F50" i="5"/>
  <c r="G48" i="5"/>
  <c r="G49" i="5"/>
  <c r="D7" i="5"/>
  <c r="D6" i="5"/>
  <c r="D5" i="5"/>
  <c r="D4" i="5"/>
  <c r="D3" i="5"/>
  <c r="D52" i="5" l="1"/>
  <c r="C48" i="5"/>
  <c r="C47" i="5"/>
  <c r="E52" i="5"/>
  <c r="E48" i="5"/>
  <c r="D50" i="5"/>
  <c r="E50" i="5"/>
  <c r="E49" i="5"/>
  <c r="E53" i="5"/>
  <c r="C34" i="5"/>
  <c r="D47" i="5"/>
  <c r="D46" i="5"/>
  <c r="D51" i="5"/>
  <c r="D49" i="5"/>
  <c r="D48" i="5"/>
  <c r="D53" i="5"/>
  <c r="C4" i="3"/>
  <c r="C5" i="3"/>
  <c r="C7" i="3"/>
  <c r="C8" i="3"/>
  <c r="C9" i="3"/>
  <c r="C11" i="3"/>
  <c r="C12" i="3"/>
  <c r="C18" i="3"/>
  <c r="C21" i="3"/>
  <c r="C24" i="3"/>
  <c r="B4" i="3"/>
  <c r="B5" i="3"/>
  <c r="B7" i="3"/>
  <c r="B8" i="3"/>
  <c r="B9" i="3"/>
  <c r="B11" i="3"/>
  <c r="B12" i="3"/>
  <c r="B18" i="3"/>
  <c r="B21" i="3"/>
  <c r="B24" i="3"/>
  <c r="C51" i="5" l="1"/>
  <c r="C50" i="5"/>
  <c r="C49" i="5"/>
  <c r="C53" i="5"/>
  <c r="C52" i="5"/>
  <c r="D12" i="3"/>
  <c r="D5" i="3"/>
  <c r="D18" i="3"/>
  <c r="D11" i="3"/>
  <c r="D9" i="3"/>
  <c r="D21" i="3"/>
  <c r="D8" i="3"/>
  <c r="D7" i="3"/>
  <c r="D24" i="3"/>
  <c r="D4" i="3"/>
  <c r="H4" i="3" l="1"/>
  <c r="H7" i="3" s="1"/>
  <c r="H42" i="4" s="1"/>
</calcChain>
</file>

<file path=xl/comments1.xml><?xml version="1.0" encoding="utf-8"?>
<comments xmlns="http://schemas.openxmlformats.org/spreadsheetml/2006/main">
  <authors>
    <author>Autor</author>
  </authors>
  <commentList>
    <comment ref="I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opción deseada de la lista desplegable.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opción de deada de la lista desplegable.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opción deseada de la lista desplegable.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la opción deseada de la lista desplegable.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Llano→0
Ondulado→33
Accidentado→66
Muy accidentado→100
Se aceptan valores intermedios.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Terreno blando→0
Roca→100
Se aceptan valores intermedios.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Solo desmonte→0
Compensación perfecta→50
Solo terraplén→100
Se aceptan valores intermedios.</t>
        </r>
      </text>
    </comment>
  </commentList>
</comments>
</file>

<file path=xl/sharedStrings.xml><?xml version="1.0" encoding="utf-8"?>
<sst xmlns="http://schemas.openxmlformats.org/spreadsheetml/2006/main" count="383" uniqueCount="186">
  <si>
    <t>Explanaciones:</t>
  </si>
  <si>
    <t>Excavaciones:</t>
  </si>
  <si>
    <t>m3 Excavación en tierras y tránsito</t>
  </si>
  <si>
    <t>Rellenos:</t>
  </si>
  <si>
    <t>m3 Zahorra artificial</t>
  </si>
  <si>
    <t>m3 Terraplén procedente de préstamos</t>
  </si>
  <si>
    <t>m3 Terraplén procedente de excavación</t>
  </si>
  <si>
    <t>Vertedero:</t>
  </si>
  <si>
    <t>m3 Transporte de tierra</t>
  </si>
  <si>
    <t>Adecuación plataforma:</t>
  </si>
  <si>
    <t>m3 Suelo tolerable</t>
  </si>
  <si>
    <t>m3 Suelo adecuado</t>
  </si>
  <si>
    <t>m3 Suelo estabilizado est-1</t>
  </si>
  <si>
    <t>m3 Suelo estabilizado est-3</t>
  </si>
  <si>
    <t>Firmes:</t>
  </si>
  <si>
    <t>m3 Gravacemento</t>
  </si>
  <si>
    <t>m3 Suelocemento</t>
  </si>
  <si>
    <t>Viaducto:</t>
  </si>
  <si>
    <t>m2 Viaducto</t>
  </si>
  <si>
    <t>Túnel:</t>
  </si>
  <si>
    <t>ml Túnel</t>
  </si>
  <si>
    <t>Paso a nivel:</t>
  </si>
  <si>
    <t>m Paso a nivel</t>
  </si>
  <si>
    <t>Cantidad</t>
  </si>
  <si>
    <t>Coste=Precio*Cantidad</t>
  </si>
  <si>
    <t>Precio</t>
  </si>
  <si>
    <t>Parámetros representativos:</t>
  </si>
  <si>
    <t>Número de carriles</t>
  </si>
  <si>
    <t>Clase de carretera</t>
  </si>
  <si>
    <t>Categoría trafico pesado</t>
  </si>
  <si>
    <t>Tipo de relieve</t>
  </si>
  <si>
    <t>Velocidad de proyecto</t>
  </si>
  <si>
    <t>Longitud total (metros)</t>
  </si>
  <si>
    <t>Tipo de material de desmonte</t>
  </si>
  <si>
    <t>Porcentaje de compensación</t>
  </si>
  <si>
    <t xml:space="preserve">m3 Excavación en roca </t>
  </si>
  <si>
    <t>m3 Excavación en roca</t>
  </si>
  <si>
    <t>Suelo de la explanación y de la obra de tierra subyacente mayoritario</t>
  </si>
  <si>
    <t>Suelo inadecuado</t>
  </si>
  <si>
    <t>Suelo tolerable</t>
  </si>
  <si>
    <t>Suelo adecuado</t>
  </si>
  <si>
    <t>E1</t>
  </si>
  <si>
    <t>E2</t>
  </si>
  <si>
    <t>E3</t>
  </si>
  <si>
    <t>Suelo adecuado 100</t>
  </si>
  <si>
    <t>S-Est1 30 y adecuado 50</t>
  </si>
  <si>
    <t>Seleccionado2 35 y adecuado 50</t>
  </si>
  <si>
    <t>S-Est1 30 y S-Est1 30</t>
  </si>
  <si>
    <t>S-Est1 30 y tolerable 60</t>
  </si>
  <si>
    <t>Seleccionado2 35 y tolerable 70</t>
  </si>
  <si>
    <t>Seleccionado2 100</t>
  </si>
  <si>
    <t>S-Est2 30 y adecuado 60</t>
  </si>
  <si>
    <t>S-Est2 30 y S-Est1 50</t>
  </si>
  <si>
    <t>S-Est2 30 y tolerable 70</t>
  </si>
  <si>
    <t>Seleccionado3 40 y tolerable 80</t>
  </si>
  <si>
    <t>S-Est3 30 y S-Est1 50</t>
  </si>
  <si>
    <t>S-Est3 30 y seleccionado2 50</t>
  </si>
  <si>
    <t>S-Est3 30 y adecuado 75</t>
  </si>
  <si>
    <t>Adecuado 60</t>
  </si>
  <si>
    <t>S-Est1 25</t>
  </si>
  <si>
    <t>Seleccionado2 45</t>
  </si>
  <si>
    <t>Seleccionado2 75</t>
  </si>
  <si>
    <t>Seleccianado2 40 y adecuado 50</t>
  </si>
  <si>
    <t>S-Est2 25 y S-Est1 25</t>
  </si>
  <si>
    <t>S-Est3 30 y sleccionado2 30</t>
  </si>
  <si>
    <t>S-Est3 30 y adecuado 50</t>
  </si>
  <si>
    <t>Seleccionado2 55</t>
  </si>
  <si>
    <t>S-Est2 25</t>
  </si>
  <si>
    <t>Seleccionado3 35</t>
  </si>
  <si>
    <t>S-Est3 30</t>
  </si>
  <si>
    <t>Suelo seleccionado (2)</t>
  </si>
  <si>
    <t>S-Est3 25</t>
  </si>
  <si>
    <t>m3 Suelo estabilizado est-2</t>
  </si>
  <si>
    <t>Seleccionado3 25 y S-Est1 25</t>
  </si>
  <si>
    <t>Seleccionado3 40 y adecuado 60</t>
  </si>
  <si>
    <t>m3 Suelo seleccionado3</t>
  </si>
  <si>
    <t>m3 Suelo seleccionado2</t>
  </si>
  <si>
    <t>T00</t>
  </si>
  <si>
    <t>T0</t>
  </si>
  <si>
    <t>T1</t>
  </si>
  <si>
    <t>T2</t>
  </si>
  <si>
    <t>T31</t>
  </si>
  <si>
    <t>T32</t>
  </si>
  <si>
    <t>T41</t>
  </si>
  <si>
    <t>T42</t>
  </si>
  <si>
    <t>MB 35 y ZA 25</t>
  </si>
  <si>
    <t>MB 25 y SC 30</t>
  </si>
  <si>
    <t>MB 20, GC 22 y SC 25</t>
  </si>
  <si>
    <t>MB 30 y ZA 25</t>
  </si>
  <si>
    <t>MB 20 y SC 25</t>
  </si>
  <si>
    <t>MB 18, GC 22 y SC 20</t>
  </si>
  <si>
    <t>MB 15, GC 22 y SC 22</t>
  </si>
  <si>
    <t>MB 25 y ZA 25</t>
  </si>
  <si>
    <t>MB 20 y SC 20</t>
  </si>
  <si>
    <t>MB 28 y ZA 40</t>
  </si>
  <si>
    <t>MB 18 y SC 30</t>
  </si>
  <si>
    <t>MB 18 y SC 22</t>
  </si>
  <si>
    <t>MB 15, GC 20 y SC 20</t>
  </si>
  <si>
    <t>MB 20 y ZA 25</t>
  </si>
  <si>
    <t>MB 15 y SC 20</t>
  </si>
  <si>
    <t>MB 20 y ZA 40</t>
  </si>
  <si>
    <t>MB 15 y SC 30</t>
  </si>
  <si>
    <t>MB 16 y ZA 40</t>
  </si>
  <si>
    <t>MB 12 y SC 30</t>
  </si>
  <si>
    <t>MB 16 y ZA 25</t>
  </si>
  <si>
    <t>MB 12 y SC 22</t>
  </si>
  <si>
    <t>MB 18 y ZA 40</t>
  </si>
  <si>
    <t>MB 15 y ZA 35</t>
  </si>
  <si>
    <t>MB 10 y SC 30</t>
  </si>
  <si>
    <t>MB 15 y ZA 20</t>
  </si>
  <si>
    <t>MB 10 y SC 22</t>
  </si>
  <si>
    <t>MB 10 y ZA 40</t>
  </si>
  <si>
    <t>MB 8 y SC 30</t>
  </si>
  <si>
    <t>MB 10 y ZA 30</t>
  </si>
  <si>
    <t>MB 8 y SC 25</t>
  </si>
  <si>
    <t>MB 10 y ZA 20</t>
  </si>
  <si>
    <t>MB 8 y SC 20</t>
  </si>
  <si>
    <t>MB 5 y ZA 35</t>
  </si>
  <si>
    <t>MB 5 y SC 25</t>
  </si>
  <si>
    <t>MB 5 y ZA 25</t>
  </si>
  <si>
    <t>MB 5 y SC 22</t>
  </si>
  <si>
    <t>MB 5 y ZA 20</t>
  </si>
  <si>
    <t>MB 5 y SC 20</t>
  </si>
  <si>
    <t>Solución</t>
  </si>
  <si>
    <t>Suelo seleccionado (3)</t>
  </si>
  <si>
    <t>Adecuación plataforma y firmes:</t>
  </si>
  <si>
    <t>m2 Adecuación de plataforma y firmes</t>
  </si>
  <si>
    <t>Carretera convencional</t>
  </si>
  <si>
    <t>Vía para automoviles</t>
  </si>
  <si>
    <t>Calzadas separadas</t>
  </si>
  <si>
    <t>Vía para automóviles</t>
  </si>
  <si>
    <t>Ancho total</t>
  </si>
  <si>
    <t>m2 Paso a nivel</t>
  </si>
  <si>
    <t>Cantidad total</t>
  </si>
  <si>
    <t>Desmonte</t>
  </si>
  <si>
    <t>Terraplén</t>
  </si>
  <si>
    <t>Desmonte blando</t>
  </si>
  <si>
    <t>Desmonte roca</t>
  </si>
  <si>
    <t>Vertedero</t>
  </si>
  <si>
    <t>Terraplén de préstamo</t>
  </si>
  <si>
    <t>Terraplén de excavación</t>
  </si>
  <si>
    <t>Sumatorio</t>
  </si>
  <si>
    <t>Porcentaje representativo</t>
  </si>
  <si>
    <t>Resultado final</t>
  </si>
  <si>
    <t>Logitud viaducto (metros)</t>
  </si>
  <si>
    <t>Longitud paso a nivel (metros)</t>
  </si>
  <si>
    <t>Longitud túnel (metros)</t>
  </si>
  <si>
    <t>Medición</t>
  </si>
  <si>
    <t>m3 Excavación no clasificada</t>
  </si>
  <si>
    <t>m3 Excavación en roca con explosivos</t>
  </si>
  <si>
    <t>m3 Excav/TTE. DTE Tránsito. M/Mecá.</t>
  </si>
  <si>
    <t>m3 Excavación roca con martillo hidráulico acoplado a retroexcavadora</t>
  </si>
  <si>
    <t>m3 Excavación en desmonte</t>
  </si>
  <si>
    <t>m3 Excav. En todo tipo de terrenos con medios mecánicos</t>
  </si>
  <si>
    <t>m3 Terraplén</t>
  </si>
  <si>
    <t>m3 Pedraplén</t>
  </si>
  <si>
    <t>m3 Formación de terraplen</t>
  </si>
  <si>
    <t>m3 Terraplenado normal</t>
  </si>
  <si>
    <t>m3 Mezcla bituminosa en caliente Bin</t>
  </si>
  <si>
    <t>m3 Mezcla bituminosa en caliente Surf</t>
  </si>
  <si>
    <t>m3 Mezcla bituminosa en caliente Base</t>
  </si>
  <si>
    <t>t Betún de cualquier penetración</t>
  </si>
  <si>
    <t>t  Mezcla bituminosa en caliente Bin</t>
  </si>
  <si>
    <t>t  Mezcla bituminosa en caliente Surf</t>
  </si>
  <si>
    <t>t  Mezcla bituminosa en caliente Base</t>
  </si>
  <si>
    <t>Precios mediciones estimadas</t>
  </si>
  <si>
    <t>Precios mediciones conocidas</t>
  </si>
  <si>
    <t>Mediciones conocidas</t>
  </si>
  <si>
    <t>Mediciones estimadas</t>
  </si>
  <si>
    <t>Coste aproximado a partir de mediciones estimadas</t>
  </si>
  <si>
    <t>Unidades de obra</t>
  </si>
  <si>
    <t>Sugerencia de precio</t>
  </si>
  <si>
    <t>Su precio</t>
  </si>
  <si>
    <t>Precio administración</t>
  </si>
  <si>
    <t>Precio propio</t>
  </si>
  <si>
    <t>Coste propio=Precio propio*Medición</t>
  </si>
  <si>
    <t>Precio adm</t>
  </si>
  <si>
    <t>Coste adm=Precio adm*Medición</t>
  </si>
  <si>
    <t>Sumatorio costes propios</t>
  </si>
  <si>
    <t>Sumatorio costes adm</t>
  </si>
  <si>
    <t>Mediciones conociadas</t>
  </si>
  <si>
    <t>Resultados</t>
  </si>
  <si>
    <t>Coste propio</t>
  </si>
  <si>
    <t>Coste administración</t>
  </si>
  <si>
    <t>Baja</t>
  </si>
  <si>
    <t>m3  Mezcla bituminosa en caliente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</si>
</sst>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Font="1" applyFill="1" applyBorder="1"/>
    <xf numFmtId="0" fontId="0" fillId="2" borderId="0" xfId="0" applyFill="1" applyBorder="1"/>
    <xf numFmtId="0" fontId="1" fillId="3" borderId="0" xfId="0" applyFont="1" applyFill="1"/>
    <xf numFmtId="0" fontId="0" fillId="3" borderId="0" xfId="0" applyFill="1"/>
    <xf numFmtId="0" fontId="1" fillId="4" borderId="0" xfId="0" applyFont="1" applyFill="1" applyBorder="1"/>
    <xf numFmtId="0" fontId="0" fillId="4" borderId="0" xfId="0" applyFill="1" applyBorder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2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2" borderId="1" xfId="0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10" fontId="0" fillId="0" borderId="0" xfId="0" applyNumberFormat="1"/>
    <xf numFmtId="10" fontId="0" fillId="4" borderId="0" xfId="0" applyNumberFormat="1" applyFill="1" applyBorder="1" applyAlignment="1">
      <alignment horizontal="center"/>
    </xf>
    <xf numFmtId="0" fontId="0" fillId="5" borderId="0" xfId="0" applyFill="1"/>
    <xf numFmtId="164" fontId="0" fillId="2" borderId="1" xfId="0" applyNumberFormat="1" applyFill="1" applyBorder="1"/>
    <xf numFmtId="164" fontId="0" fillId="4" borderId="0" xfId="0" applyNumberFormat="1" applyFill="1" applyBorder="1"/>
    <xf numFmtId="164" fontId="0" fillId="4" borderId="0" xfId="0" applyNumberFormat="1" applyFill="1"/>
    <xf numFmtId="16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</xdr:colOff>
      <xdr:row>0</xdr:row>
      <xdr:rowOff>47624</xdr:rowOff>
    </xdr:from>
    <xdr:ext cx="7991475" cy="4476751"/>
    <xdr:sp macro="" textlink="">
      <xdr:nvSpPr>
        <xdr:cNvPr id="4" name="3 CuadroTexto"/>
        <xdr:cNvSpPr txBox="1"/>
      </xdr:nvSpPr>
      <xdr:spPr>
        <a:xfrm>
          <a:off x="3171825" y="47624"/>
          <a:ext cx="7991475" cy="447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600"/>
            <a:t>Instrucciones de uso:</a:t>
          </a:r>
        </a:p>
        <a:p>
          <a:r>
            <a:rPr lang="es-ES" sz="1600"/>
            <a:t>La aplicación consta</a:t>
          </a:r>
          <a:r>
            <a:rPr lang="es-ES" sz="1600" baseline="0"/>
            <a:t> de dos funciones, por un lado compara los costes  propios con los de la administración para unas unidades de obra que son muy representativas del coste total y por otro ayuda a seleccionar alternativas a la hora de elaborar un proyecto la administración, estimando el coste total en función de unos parámetros solicitados.</a:t>
          </a:r>
        </a:p>
        <a:p>
          <a:r>
            <a:rPr lang="es-ES" sz="1600" baseline="0"/>
            <a:t>Por el lado de la comparativa e</a:t>
          </a:r>
          <a:r>
            <a:rPr lang="es-ES" sz="1600"/>
            <a:t>n la hoja "Toma de datos y resultado" debe</a:t>
          </a:r>
          <a:r>
            <a:rPr lang="es-ES" sz="1600" baseline="0"/>
            <a:t> rellenar  en la parte izquierda con las mediciones que se solicitan procedentes del proyecto que le interese  ver de forma rápida si es viable para presentarse a concurso. En la hoja "Base de datos" debe introducir, en la parte izquierda nuevamente, los precios que tienen para su empresa y para la administración las distintas unidades de obra. </a:t>
          </a:r>
        </a:p>
        <a:p>
          <a:r>
            <a:rPr lang="es-ES" sz="1600" baseline="0"/>
            <a:t>Por el lado de la estimación del coste total de una obra, en la hoja "Toma de datos y resultado" debe rellenar en la parte derecha los parámetros solicitados. En la hoja "Base de datos", en la parte derecha también, debe rellenar con los precios de las unidades de obra.</a:t>
          </a:r>
        </a:p>
        <a:p>
          <a:r>
            <a:rPr lang="es-ES" sz="1600" baseline="0"/>
            <a:t>Los resultados se mostrarán en la hoja "Toma de datos y resultado". Para la primera función se mostrará el coste propio y de la administración para las unidades de obra consideradas y el porcentaje de baja que tiene el coste propio respecto del de la administración. Para la segunda función se presentará la estimación del coste total de la obra.</a:t>
          </a:r>
          <a:endParaRPr lang="es-ES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E1" workbookViewId="0">
      <selection activeCell="O24" sqref="O24"/>
    </sheetView>
  </sheetViews>
  <sheetFormatPr baseColWidth="10" defaultColWidth="0" defaultRowHeight="15" zeroHeight="1" x14ac:dyDescent="0.25"/>
  <cols>
    <col min="1" max="15" width="11.42578125" customWidth="1"/>
    <col min="16" max="16384" width="11.42578125" hidden="1"/>
  </cols>
  <sheetData>
    <row r="1" spans="5:15" x14ac:dyDescent="0.25"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5:15" x14ac:dyDescent="0.25"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5:15" x14ac:dyDescent="0.25"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5:15" x14ac:dyDescent="0.25"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5:15" x14ac:dyDescent="0.25"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5:15" x14ac:dyDescent="0.25"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5:15" x14ac:dyDescent="0.25"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5:15" x14ac:dyDescent="0.25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5:15" x14ac:dyDescent="0.25"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5:15" x14ac:dyDescent="0.25"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5:15" x14ac:dyDescent="0.25"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5:15" x14ac:dyDescent="0.25"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5:15" x14ac:dyDescent="0.25"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5:15" x14ac:dyDescent="0.25"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5:15" x14ac:dyDescent="0.25"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5:15" x14ac:dyDescent="0.25"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5:15" x14ac:dyDescent="0.25"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5:15" x14ac:dyDescent="0.25"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5:15" x14ac:dyDescent="0.2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5:15" x14ac:dyDescent="0.2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5:15" x14ac:dyDescent="0.2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5:15" x14ac:dyDescent="0.2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5:15" x14ac:dyDescent="0.2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5:15" x14ac:dyDescent="0.25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42"/>
  <sheetViews>
    <sheetView tabSelected="1" workbookViewId="0">
      <selection activeCell="J31" sqref="J31"/>
    </sheetView>
  </sheetViews>
  <sheetFormatPr baseColWidth="10" defaultColWidth="0" defaultRowHeight="15" zeroHeight="1" x14ac:dyDescent="0.25"/>
  <cols>
    <col min="1" max="2" width="11.42578125" style="2" customWidth="1"/>
    <col min="3" max="3" width="70.5703125" style="2" customWidth="1"/>
    <col min="4" max="5" width="11.42578125" customWidth="1"/>
    <col min="6" max="7" width="11.42578125" style="2" customWidth="1"/>
    <col min="8" max="8" width="69.85546875" customWidth="1"/>
    <col min="9" max="9" width="23.140625" customWidth="1"/>
    <col min="10" max="13" width="11.42578125" customWidth="1"/>
    <col min="14" max="33" width="0" hidden="1" customWidth="1"/>
    <col min="34" max="16384" width="11.42578125" hidden="1"/>
  </cols>
  <sheetData>
    <row r="1" spans="2:33" s="2" customFormat="1" x14ac:dyDescent="0.25">
      <c r="B1" s="25"/>
      <c r="C1" s="28" t="s">
        <v>167</v>
      </c>
      <c r="D1" s="25"/>
      <c r="E1" s="25"/>
      <c r="G1" s="25"/>
      <c r="H1" s="28" t="s">
        <v>168</v>
      </c>
      <c r="I1" s="25"/>
      <c r="J1" s="25"/>
    </row>
    <row r="2" spans="2:33" s="2" customFormat="1" x14ac:dyDescent="0.25">
      <c r="B2" s="30"/>
      <c r="C2" s="35"/>
      <c r="D2" s="30"/>
      <c r="E2" s="30"/>
      <c r="G2" s="30"/>
      <c r="H2" s="35"/>
      <c r="I2" s="30"/>
      <c r="J2" s="30"/>
    </row>
    <row r="3" spans="2:33" s="2" customFormat="1" x14ac:dyDescent="0.25">
      <c r="B3" s="30"/>
      <c r="C3" s="36" t="s">
        <v>170</v>
      </c>
      <c r="D3" s="36" t="s">
        <v>147</v>
      </c>
      <c r="E3" s="30"/>
      <c r="G3" s="30"/>
      <c r="H3" s="26" t="s">
        <v>26</v>
      </c>
      <c r="I3" s="27"/>
      <c r="J3" s="30"/>
    </row>
    <row r="4" spans="2:33" s="2" customFormat="1" x14ac:dyDescent="0.25">
      <c r="B4" s="30"/>
      <c r="C4" s="35"/>
      <c r="D4" s="30"/>
      <c r="E4" s="30"/>
      <c r="G4" s="30"/>
      <c r="H4" s="26"/>
      <c r="I4" s="27"/>
      <c r="J4" s="30"/>
    </row>
    <row r="5" spans="2:33" x14ac:dyDescent="0.25">
      <c r="B5" s="30"/>
      <c r="C5" s="26" t="s">
        <v>0</v>
      </c>
      <c r="D5" s="27"/>
      <c r="E5" s="27"/>
      <c r="G5" s="30"/>
      <c r="H5" s="27" t="s">
        <v>32</v>
      </c>
      <c r="I5" s="34"/>
      <c r="J5" s="3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x14ac:dyDescent="0.25">
      <c r="B6" s="30"/>
      <c r="C6" s="26"/>
      <c r="D6" s="27"/>
      <c r="E6" s="27"/>
      <c r="G6" s="30"/>
      <c r="H6" s="27"/>
      <c r="I6" s="27"/>
      <c r="J6" s="3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x14ac:dyDescent="0.25">
      <c r="B7" s="30"/>
      <c r="C7" s="26" t="s">
        <v>1</v>
      </c>
      <c r="D7" s="27"/>
      <c r="E7" s="27"/>
      <c r="G7" s="30"/>
      <c r="H7" s="27" t="s">
        <v>144</v>
      </c>
      <c r="I7" s="34"/>
      <c r="J7" s="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x14ac:dyDescent="0.25">
      <c r="B8" s="30"/>
      <c r="C8" s="26"/>
      <c r="D8" s="27"/>
      <c r="E8" s="27"/>
      <c r="G8" s="30"/>
      <c r="H8" s="27"/>
      <c r="I8" s="27"/>
      <c r="J8" s="3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2:33" x14ac:dyDescent="0.25">
      <c r="B9" s="30"/>
      <c r="C9" s="27" t="s">
        <v>148</v>
      </c>
      <c r="D9" s="34"/>
      <c r="E9" s="27"/>
      <c r="G9" s="30"/>
      <c r="H9" s="27" t="s">
        <v>145</v>
      </c>
      <c r="I9" s="34"/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2:33" x14ac:dyDescent="0.25">
      <c r="B10" s="30"/>
      <c r="C10" s="27"/>
      <c r="D10" s="27"/>
      <c r="E10" s="27"/>
      <c r="G10" s="30"/>
      <c r="H10" s="27"/>
      <c r="I10" s="27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2:33" x14ac:dyDescent="0.25">
      <c r="B11" s="30"/>
      <c r="C11" s="27" t="s">
        <v>149</v>
      </c>
      <c r="D11" s="34"/>
      <c r="E11" s="27"/>
      <c r="G11" s="30"/>
      <c r="H11" s="27" t="s">
        <v>146</v>
      </c>
      <c r="I11" s="34"/>
      <c r="J11" s="30"/>
      <c r="K11" s="2"/>
      <c r="L11" s="2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x14ac:dyDescent="0.25">
      <c r="B12" s="30"/>
      <c r="C12" s="27"/>
      <c r="D12" s="27"/>
      <c r="E12" s="27"/>
      <c r="G12" s="30"/>
      <c r="H12" s="27"/>
      <c r="I12" s="27"/>
      <c r="J12" s="3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25">
      <c r="B13" s="30"/>
      <c r="C13" s="27" t="s">
        <v>150</v>
      </c>
      <c r="D13" s="34"/>
      <c r="E13" s="27"/>
      <c r="G13" s="30"/>
      <c r="H13" s="27" t="s">
        <v>27</v>
      </c>
      <c r="I13" s="34"/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25">
      <c r="B14" s="30"/>
      <c r="C14" s="27"/>
      <c r="D14" s="27"/>
      <c r="E14" s="27"/>
      <c r="G14" s="30"/>
      <c r="H14" s="27"/>
      <c r="I14" s="27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x14ac:dyDescent="0.25">
      <c r="B15" s="30"/>
      <c r="C15" s="27" t="s">
        <v>2</v>
      </c>
      <c r="D15" s="34"/>
      <c r="E15" s="27"/>
      <c r="G15" s="30"/>
      <c r="H15" s="27" t="s">
        <v>28</v>
      </c>
      <c r="I15" s="34"/>
      <c r="J15" s="3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2:33" x14ac:dyDescent="0.25">
      <c r="B16" s="30"/>
      <c r="C16" s="27"/>
      <c r="D16" s="27"/>
      <c r="E16" s="27"/>
      <c r="G16" s="30"/>
      <c r="H16" s="27"/>
      <c r="I16" s="30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30"/>
      <c r="C17" s="27" t="s">
        <v>151</v>
      </c>
      <c r="D17" s="34"/>
      <c r="E17" s="27"/>
      <c r="G17" s="30"/>
      <c r="H17" s="27" t="s">
        <v>29</v>
      </c>
      <c r="I17" s="34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30"/>
      <c r="C18" s="27"/>
      <c r="D18" s="27"/>
      <c r="E18" s="27"/>
      <c r="G18" s="30"/>
      <c r="H18" s="27"/>
      <c r="I18" s="30"/>
      <c r="J18" s="3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30"/>
      <c r="C19" s="27" t="s">
        <v>152</v>
      </c>
      <c r="D19" s="34"/>
      <c r="E19" s="27"/>
      <c r="G19" s="30"/>
      <c r="H19" s="27" t="s">
        <v>37</v>
      </c>
      <c r="I19" s="34"/>
      <c r="J19" s="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30"/>
      <c r="C20" s="27"/>
      <c r="D20" s="27"/>
      <c r="E20" s="27"/>
      <c r="G20" s="30"/>
      <c r="H20" s="27"/>
      <c r="I20" s="27"/>
      <c r="J20" s="3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25">
      <c r="B21" s="30"/>
      <c r="C21" s="27" t="s">
        <v>153</v>
      </c>
      <c r="D21" s="34"/>
      <c r="E21" s="27"/>
      <c r="G21" s="30"/>
      <c r="H21" s="27" t="s">
        <v>31</v>
      </c>
      <c r="I21" s="34"/>
      <c r="J21" s="3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25">
      <c r="B22" s="30"/>
      <c r="C22" s="27"/>
      <c r="D22" s="27"/>
      <c r="E22" s="27"/>
      <c r="G22" s="30"/>
      <c r="H22" s="27"/>
      <c r="I22" s="30"/>
      <c r="J22" s="3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2:33" x14ac:dyDescent="0.25">
      <c r="B23" s="30"/>
      <c r="C23" s="26" t="s">
        <v>3</v>
      </c>
      <c r="D23" s="27"/>
      <c r="E23" s="27"/>
      <c r="G23" s="30"/>
      <c r="H23" s="27" t="s">
        <v>30</v>
      </c>
      <c r="I23" s="34"/>
      <c r="J23" s="3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2:33" x14ac:dyDescent="0.25">
      <c r="B24" s="30"/>
      <c r="C24" s="26"/>
      <c r="D24" s="27"/>
      <c r="E24" s="27"/>
      <c r="G24" s="30"/>
      <c r="H24" s="27"/>
      <c r="I24" s="30"/>
      <c r="J24" s="3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25">
      <c r="B25" s="30"/>
      <c r="C25" s="27" t="s">
        <v>154</v>
      </c>
      <c r="D25" s="34"/>
      <c r="E25" s="27"/>
      <c r="G25" s="30"/>
      <c r="H25" s="27" t="s">
        <v>33</v>
      </c>
      <c r="I25" s="34"/>
      <c r="J25" s="3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x14ac:dyDescent="0.25">
      <c r="B26" s="30"/>
      <c r="C26" s="27"/>
      <c r="D26" s="27"/>
      <c r="E26" s="27"/>
      <c r="G26" s="30"/>
      <c r="H26" s="27"/>
      <c r="I26" s="30"/>
      <c r="J26" s="3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2:33" x14ac:dyDescent="0.25">
      <c r="B27" s="30"/>
      <c r="C27" s="27" t="s">
        <v>155</v>
      </c>
      <c r="D27" s="34"/>
      <c r="E27" s="27"/>
      <c r="G27" s="30"/>
      <c r="H27" s="27" t="s">
        <v>34</v>
      </c>
      <c r="I27" s="34"/>
      <c r="J27" s="3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2:33" x14ac:dyDescent="0.25">
      <c r="B28" s="30"/>
      <c r="C28" s="27"/>
      <c r="D28" s="27"/>
      <c r="E28" s="27"/>
      <c r="G28" s="30"/>
      <c r="H28" s="27"/>
      <c r="I28" s="27"/>
      <c r="J28" s="30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2:33" x14ac:dyDescent="0.25">
      <c r="B29" s="30"/>
      <c r="C29" s="27" t="s">
        <v>4</v>
      </c>
      <c r="D29" s="34"/>
      <c r="E29" s="27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x14ac:dyDescent="0.25">
      <c r="B30" s="30"/>
      <c r="C30" s="27"/>
      <c r="D30" s="27"/>
      <c r="E30" s="2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2:33" x14ac:dyDescent="0.25">
      <c r="B31" s="30"/>
      <c r="C31" s="27" t="s">
        <v>156</v>
      </c>
      <c r="D31" s="34"/>
      <c r="E31" s="27"/>
      <c r="H31" s="28" t="s">
        <v>181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2:33" x14ac:dyDescent="0.25">
      <c r="B32" s="30"/>
      <c r="C32" s="27"/>
      <c r="D32" s="27"/>
      <c r="E32" s="27"/>
      <c r="H32" s="28" t="s">
        <v>180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2:33" x14ac:dyDescent="0.25">
      <c r="B33" s="30"/>
      <c r="C33" s="27" t="s">
        <v>157</v>
      </c>
      <c r="D33" s="34"/>
      <c r="E33" s="27"/>
      <c r="H33" s="37" t="s">
        <v>182</v>
      </c>
      <c r="I33" s="23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x14ac:dyDescent="0.25">
      <c r="B34" s="30"/>
      <c r="C34" s="27"/>
      <c r="D34" s="27"/>
      <c r="E34" s="27"/>
      <c r="H34" s="32">
        <f>'Cálculo conocidas'!I4</f>
        <v>0</v>
      </c>
      <c r="I34" s="23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25">
      <c r="B35" s="30"/>
      <c r="C35" s="27" t="s">
        <v>5</v>
      </c>
      <c r="D35" s="34"/>
      <c r="E35" s="27"/>
      <c r="H35" s="38" t="s">
        <v>183</v>
      </c>
      <c r="I35" s="31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2:33" x14ac:dyDescent="0.25">
      <c r="B36" s="30"/>
      <c r="C36" s="27"/>
      <c r="D36" s="27"/>
      <c r="E36" s="27"/>
      <c r="H36" s="32">
        <f>'Cálculo conocidas'!I5</f>
        <v>0</v>
      </c>
      <c r="I36" s="31"/>
      <c r="J36" s="2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2:33" x14ac:dyDescent="0.25">
      <c r="B37" s="30"/>
      <c r="C37" s="27" t="s">
        <v>6</v>
      </c>
      <c r="D37" s="34"/>
      <c r="E37" s="27"/>
      <c r="H37" s="38" t="s">
        <v>184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x14ac:dyDescent="0.25">
      <c r="B38" s="30"/>
      <c r="C38" s="27"/>
      <c r="D38" s="27"/>
      <c r="E38" s="27"/>
      <c r="H38" s="40" t="e">
        <f>'Cálculo conocidas'!I7</f>
        <v>#DIV/0!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x14ac:dyDescent="0.25">
      <c r="B39" s="30"/>
      <c r="C39" s="26" t="s">
        <v>7</v>
      </c>
      <c r="D39" s="27"/>
      <c r="E39" s="2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x14ac:dyDescent="0.25">
      <c r="B40" s="30"/>
      <c r="C40" s="26"/>
      <c r="D40" s="27"/>
      <c r="E40" s="2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x14ac:dyDescent="0.25">
      <c r="B41" s="30"/>
      <c r="C41" s="27" t="s">
        <v>8</v>
      </c>
      <c r="D41" s="34"/>
      <c r="E41" s="27"/>
      <c r="H41" s="28" t="s">
        <v>169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x14ac:dyDescent="0.25">
      <c r="B42" s="30"/>
      <c r="C42" s="27"/>
      <c r="D42" s="27"/>
      <c r="E42" s="27"/>
      <c r="H42" s="33" t="e">
        <f>'Cálculo estimadas'!H7</f>
        <v>#N/A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x14ac:dyDescent="0.25">
      <c r="B43" s="30"/>
      <c r="C43" s="26" t="s">
        <v>9</v>
      </c>
      <c r="D43" s="27"/>
      <c r="E43" s="27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x14ac:dyDescent="0.25">
      <c r="B44" s="30"/>
      <c r="C44" s="26"/>
      <c r="D44" s="27"/>
      <c r="E44" s="27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x14ac:dyDescent="0.25">
      <c r="B45" s="30"/>
      <c r="C45" s="27" t="s">
        <v>10</v>
      </c>
      <c r="D45" s="34"/>
      <c r="E45" s="27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x14ac:dyDescent="0.25">
      <c r="B46" s="30"/>
      <c r="C46" s="27"/>
      <c r="D46" s="27"/>
      <c r="E46" s="2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x14ac:dyDescent="0.25">
      <c r="B47" s="30"/>
      <c r="C47" s="27" t="s">
        <v>11</v>
      </c>
      <c r="D47" s="34"/>
      <c r="E47" s="2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x14ac:dyDescent="0.25">
      <c r="B48" s="30"/>
      <c r="C48" s="27"/>
      <c r="D48" s="27"/>
      <c r="E48" s="2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x14ac:dyDescent="0.25">
      <c r="B49" s="30"/>
      <c r="C49" s="27" t="s">
        <v>76</v>
      </c>
      <c r="D49" s="34"/>
      <c r="E49" s="2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x14ac:dyDescent="0.25">
      <c r="B50" s="30"/>
      <c r="C50" s="27"/>
      <c r="D50" s="27"/>
      <c r="E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x14ac:dyDescent="0.25">
      <c r="B51" s="30"/>
      <c r="C51" s="27" t="s">
        <v>75</v>
      </c>
      <c r="D51" s="34"/>
      <c r="E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x14ac:dyDescent="0.25">
      <c r="B52" s="30"/>
      <c r="C52" s="27"/>
      <c r="D52" s="27"/>
      <c r="E52" s="2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x14ac:dyDescent="0.25">
      <c r="B53" s="30"/>
      <c r="C53" s="27" t="s">
        <v>12</v>
      </c>
      <c r="D53" s="34"/>
      <c r="E53" s="2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x14ac:dyDescent="0.25">
      <c r="B54" s="30"/>
      <c r="C54" s="27"/>
      <c r="D54" s="27"/>
      <c r="E54" s="2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x14ac:dyDescent="0.25">
      <c r="B55" s="30"/>
      <c r="C55" s="27" t="s">
        <v>72</v>
      </c>
      <c r="D55" s="34"/>
      <c r="E55" s="2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x14ac:dyDescent="0.25">
      <c r="B56" s="30"/>
      <c r="C56" s="27"/>
      <c r="D56" s="27"/>
      <c r="E56" s="2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x14ac:dyDescent="0.25">
      <c r="B57" s="30"/>
      <c r="C57" s="27" t="s">
        <v>13</v>
      </c>
      <c r="D57" s="34"/>
      <c r="E57" s="2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x14ac:dyDescent="0.25">
      <c r="B58" s="30"/>
      <c r="C58" s="27"/>
      <c r="D58" s="27"/>
      <c r="E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x14ac:dyDescent="0.25">
      <c r="B59" s="30"/>
      <c r="C59" s="26" t="s">
        <v>14</v>
      </c>
      <c r="D59" s="27"/>
      <c r="E59" s="2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x14ac:dyDescent="0.25">
      <c r="B60" s="30"/>
      <c r="C60" s="26"/>
      <c r="D60" s="27"/>
      <c r="E60" s="2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x14ac:dyDescent="0.25">
      <c r="B61" s="30"/>
      <c r="C61" s="27" t="s">
        <v>162</v>
      </c>
      <c r="D61" s="34"/>
      <c r="E61" s="2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x14ac:dyDescent="0.25">
      <c r="B62" s="30"/>
      <c r="C62" s="27"/>
      <c r="D62" s="27"/>
      <c r="E62" s="2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x14ac:dyDescent="0.25">
      <c r="B63" s="30"/>
      <c r="C63" s="27" t="s">
        <v>163</v>
      </c>
      <c r="D63" s="34"/>
      <c r="E63" s="2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x14ac:dyDescent="0.25">
      <c r="B64" s="30"/>
      <c r="C64" s="27"/>
      <c r="D64" s="27"/>
      <c r="E64" s="2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30"/>
      <c r="C65" s="27" t="s">
        <v>164</v>
      </c>
      <c r="D65" s="34"/>
      <c r="E65" s="2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30"/>
      <c r="C66" s="27"/>
      <c r="D66" s="27"/>
      <c r="E66" s="2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0"/>
      <c r="C67" s="27" t="s">
        <v>4</v>
      </c>
      <c r="D67" s="34"/>
      <c r="E67" s="2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0"/>
      <c r="C68" s="27"/>
      <c r="D68" s="27"/>
      <c r="E68" s="2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0"/>
      <c r="C69" s="27" t="s">
        <v>15</v>
      </c>
      <c r="D69" s="34"/>
      <c r="E69" s="2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0"/>
      <c r="C70" s="27"/>
      <c r="D70" s="27"/>
      <c r="E70" s="2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30"/>
      <c r="C71" s="27" t="s">
        <v>16</v>
      </c>
      <c r="D71" s="34"/>
      <c r="E71" s="2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30"/>
      <c r="C72" s="27"/>
      <c r="D72" s="27"/>
      <c r="E72" s="2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30"/>
      <c r="C73" s="27" t="s">
        <v>161</v>
      </c>
      <c r="D73" s="34"/>
      <c r="E73" s="2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30"/>
      <c r="C74" s="27"/>
      <c r="D74" s="27"/>
      <c r="E74" s="2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30"/>
      <c r="C75" s="26" t="s">
        <v>17</v>
      </c>
      <c r="D75" s="27"/>
      <c r="E75" s="2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30"/>
      <c r="C76" s="26"/>
      <c r="D76" s="27"/>
      <c r="E76" s="2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x14ac:dyDescent="0.25">
      <c r="B77" s="30"/>
      <c r="C77" s="27" t="s">
        <v>18</v>
      </c>
      <c r="D77" s="34"/>
      <c r="E77" s="2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x14ac:dyDescent="0.25">
      <c r="B78" s="30"/>
      <c r="C78" s="27"/>
      <c r="D78" s="27"/>
      <c r="E78" s="2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x14ac:dyDescent="0.25">
      <c r="B79" s="30"/>
      <c r="C79" s="26" t="s">
        <v>19</v>
      </c>
      <c r="D79" s="27"/>
      <c r="E79" s="2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x14ac:dyDescent="0.25">
      <c r="B80" s="30"/>
      <c r="C80" s="26"/>
      <c r="D80" s="27"/>
      <c r="E80" s="2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:33" x14ac:dyDescent="0.25">
      <c r="B81" s="30"/>
      <c r="C81" s="27" t="s">
        <v>20</v>
      </c>
      <c r="D81" s="34"/>
      <c r="E81" s="2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:33" x14ac:dyDescent="0.25">
      <c r="B82" s="30"/>
      <c r="C82" s="27"/>
      <c r="D82" s="27"/>
      <c r="E82" s="2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:33" x14ac:dyDescent="0.25">
      <c r="B83" s="30"/>
      <c r="C83" s="26" t="s">
        <v>21</v>
      </c>
      <c r="D83" s="27"/>
      <c r="E83" s="2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x14ac:dyDescent="0.25">
      <c r="B84" s="30"/>
      <c r="C84" s="26"/>
      <c r="D84" s="27"/>
      <c r="E84" s="2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x14ac:dyDescent="0.25">
      <c r="B85" s="30"/>
      <c r="C85" s="27" t="s">
        <v>132</v>
      </c>
      <c r="D85" s="34"/>
      <c r="E85" s="2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x14ac:dyDescent="0.25">
      <c r="B86" s="30"/>
      <c r="C86" s="30"/>
      <c r="D86" s="30"/>
      <c r="E86" s="30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x14ac:dyDescent="0.25">
      <c r="D87" s="2"/>
      <c r="E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x14ac:dyDescent="0.25">
      <c r="D88" s="2"/>
      <c r="E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25">
      <c r="D89" s="2"/>
      <c r="E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hidden="1" x14ac:dyDescent="0.25">
      <c r="D90" s="2"/>
      <c r="E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hidden="1" x14ac:dyDescent="0.25">
      <c r="D91" s="2"/>
      <c r="E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hidden="1" x14ac:dyDescent="0.25">
      <c r="D92" s="2"/>
      <c r="E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hidden="1" x14ac:dyDescent="0.25">
      <c r="D93" s="2"/>
      <c r="E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hidden="1" x14ac:dyDescent="0.25">
      <c r="D94" s="2"/>
      <c r="E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hidden="1" x14ac:dyDescent="0.25">
      <c r="D95" s="2"/>
      <c r="E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hidden="1" x14ac:dyDescent="0.25">
      <c r="D96" s="2"/>
      <c r="E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4:33" hidden="1" x14ac:dyDescent="0.25">
      <c r="D97" s="2"/>
      <c r="E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4:33" hidden="1" x14ac:dyDescent="0.25">
      <c r="D98" s="2"/>
      <c r="E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4:33" hidden="1" x14ac:dyDescent="0.25">
      <c r="D99" s="2"/>
      <c r="E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4:33" hidden="1" x14ac:dyDescent="0.25">
      <c r="D100" s="2"/>
      <c r="E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4:33" hidden="1" x14ac:dyDescent="0.25">
      <c r="D101" s="2"/>
      <c r="E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4:33" hidden="1" x14ac:dyDescent="0.25">
      <c r="D102" s="2"/>
      <c r="E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4:33" hidden="1" x14ac:dyDescent="0.25">
      <c r="D103" s="2"/>
      <c r="E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4:33" hidden="1" x14ac:dyDescent="0.25">
      <c r="D104" s="2"/>
      <c r="E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4:33" hidden="1" x14ac:dyDescent="0.25">
      <c r="D105" s="2"/>
      <c r="E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4:33" hidden="1" x14ac:dyDescent="0.25">
      <c r="D106" s="2"/>
      <c r="E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4:33" hidden="1" x14ac:dyDescent="0.25">
      <c r="D107" s="2"/>
      <c r="E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4:33" hidden="1" x14ac:dyDescent="0.25">
      <c r="D108" s="2"/>
      <c r="E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4:33" hidden="1" x14ac:dyDescent="0.25">
      <c r="D109" s="2"/>
      <c r="E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4:33" hidden="1" x14ac:dyDescent="0.25">
      <c r="D110" s="2"/>
      <c r="E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4:33" hidden="1" x14ac:dyDescent="0.25">
      <c r="D111" s="2"/>
      <c r="E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4:33" hidden="1" x14ac:dyDescent="0.25">
      <c r="D112" s="2"/>
      <c r="E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4:33" hidden="1" x14ac:dyDescent="0.25">
      <c r="D113" s="2"/>
      <c r="E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4:33" hidden="1" x14ac:dyDescent="0.25">
      <c r="D114" s="2"/>
      <c r="E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4:33" hidden="1" x14ac:dyDescent="0.25">
      <c r="D115" s="2"/>
      <c r="E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4:33" hidden="1" x14ac:dyDescent="0.25">
      <c r="D116" s="2"/>
      <c r="E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4:33" hidden="1" x14ac:dyDescent="0.25">
      <c r="D117" s="2"/>
      <c r="E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4:33" hidden="1" x14ac:dyDescent="0.25">
      <c r="D118" s="2"/>
      <c r="E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4:33" hidden="1" x14ac:dyDescent="0.25">
      <c r="D119" s="2"/>
      <c r="E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4:33" hidden="1" x14ac:dyDescent="0.25">
      <c r="D120" s="2"/>
      <c r="E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4:33" hidden="1" x14ac:dyDescent="0.25">
      <c r="D121" s="2"/>
      <c r="E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4:33" hidden="1" x14ac:dyDescent="0.25">
      <c r="D122" s="2"/>
      <c r="E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4:33" hidden="1" x14ac:dyDescent="0.25">
      <c r="D123" s="2"/>
      <c r="E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4:33" hidden="1" x14ac:dyDescent="0.25">
      <c r="D124" s="2"/>
      <c r="E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4:33" hidden="1" x14ac:dyDescent="0.25">
      <c r="D125" s="2"/>
      <c r="E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4:33" hidden="1" x14ac:dyDescent="0.25">
      <c r="D126" s="2"/>
      <c r="E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4:33" hidden="1" x14ac:dyDescent="0.25">
      <c r="D127" s="2"/>
      <c r="E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4:33" hidden="1" x14ac:dyDescent="0.25">
      <c r="D128" s="2"/>
      <c r="E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4:33" hidden="1" x14ac:dyDescent="0.25">
      <c r="D129" s="2"/>
      <c r="E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4:33" hidden="1" x14ac:dyDescent="0.25">
      <c r="D130" s="2"/>
      <c r="E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4:33" hidden="1" x14ac:dyDescent="0.25">
      <c r="D131" s="2"/>
      <c r="E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4:33" hidden="1" x14ac:dyDescent="0.25">
      <c r="D132" s="2"/>
      <c r="E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4:33" hidden="1" x14ac:dyDescent="0.25">
      <c r="D133" s="2"/>
      <c r="E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4:33" hidden="1" x14ac:dyDescent="0.25">
      <c r="D134" s="2"/>
      <c r="E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4:33" hidden="1" x14ac:dyDescent="0.25">
      <c r="D135" s="2"/>
      <c r="E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4:33" hidden="1" x14ac:dyDescent="0.25">
      <c r="D136" s="2"/>
      <c r="E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4:33" hidden="1" x14ac:dyDescent="0.25">
      <c r="D137" s="2"/>
      <c r="E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4:33" hidden="1" x14ac:dyDescent="0.25">
      <c r="D138" s="2"/>
      <c r="E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4:33" hidden="1" x14ac:dyDescent="0.25">
      <c r="D139" s="2"/>
      <c r="E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4:33" hidden="1" x14ac:dyDescent="0.25">
      <c r="D140" s="2"/>
      <c r="E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4:33" hidden="1" x14ac:dyDescent="0.25">
      <c r="D141" s="2"/>
      <c r="E141" s="2"/>
      <c r="H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4:33" hidden="1" x14ac:dyDescent="0.25"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Auxiliar!$B$4:$B$11</xm:f>
          </x14:formula1>
          <xm:sqref>I17</xm:sqref>
        </x14:dataValidation>
        <x14:dataValidation type="list" allowBlank="1" showInputMessage="1" showErrorMessage="1">
          <x14:formula1>
            <xm:f>Auxiliar!$D$4:$D$8</xm:f>
          </x14:formula1>
          <xm:sqref>I19:I20</xm:sqref>
        </x14:dataValidation>
        <x14:dataValidation type="list" allowBlank="1" showInputMessage="1" showErrorMessage="1">
          <x14:formula1>
            <xm:f>Auxiliar!$F$4:$F$6</xm:f>
          </x14:formula1>
          <xm:sqref>I15</xm:sqref>
        </x14:dataValidation>
        <x14:dataValidation type="list" allowBlank="1" showInputMessage="1" showErrorMessage="1">
          <x14:formula1>
            <xm:f>Auxiliar!$H$4:$H$8</xm:f>
          </x14:formula1>
          <xm:sqref>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topLeftCell="D28" zoomScaleNormal="100" workbookViewId="0">
      <selection activeCell="Q59" sqref="Q59"/>
    </sheetView>
  </sheetViews>
  <sheetFormatPr baseColWidth="10" defaultColWidth="0" defaultRowHeight="15" zeroHeight="1" x14ac:dyDescent="0.25"/>
  <cols>
    <col min="1" max="2" width="9.140625" style="2" customWidth="1"/>
    <col min="3" max="3" width="70.42578125" customWidth="1"/>
    <col min="4" max="4" width="5.7109375" customWidth="1"/>
    <col min="5" max="5" width="21" customWidth="1"/>
    <col min="6" max="6" width="5.7109375" customWidth="1"/>
    <col min="7" max="7" width="19.28515625" customWidth="1"/>
    <col min="8" max="8" width="5.7109375" customWidth="1"/>
    <col min="9" max="9" width="19.28515625" customWidth="1"/>
    <col min="10" max="10" width="9.140625" customWidth="1"/>
    <col min="11" max="12" width="9.140625" style="2" customWidth="1"/>
    <col min="13" max="13" width="64.140625" customWidth="1"/>
    <col min="14" max="14" width="21.7109375" customWidth="1"/>
    <col min="15" max="15" width="12" customWidth="1"/>
    <col min="16" max="16" width="9.140625" customWidth="1"/>
    <col min="17" max="19" width="9.140625" style="2" customWidth="1"/>
    <col min="20" max="38" width="0" hidden="1" customWidth="1"/>
    <col min="39" max="16384" width="9.140625" hidden="1"/>
  </cols>
  <sheetData>
    <row r="1" spans="2:38" s="2" customFormat="1" x14ac:dyDescent="0.25">
      <c r="B1" s="25"/>
      <c r="C1" s="28" t="s">
        <v>166</v>
      </c>
      <c r="D1" s="28"/>
      <c r="E1" s="24"/>
      <c r="F1" s="24"/>
      <c r="G1" s="25"/>
      <c r="H1" s="25"/>
      <c r="I1" s="25"/>
      <c r="J1" s="25"/>
      <c r="L1" s="25"/>
      <c r="M1" s="28" t="s">
        <v>165</v>
      </c>
      <c r="N1" s="24"/>
      <c r="O1" s="25"/>
      <c r="P1" s="25"/>
    </row>
    <row r="2" spans="2:38" s="2" customFormat="1" x14ac:dyDescent="0.25">
      <c r="B2" s="30"/>
      <c r="C2" s="35"/>
      <c r="D2" s="35"/>
      <c r="E2" s="29"/>
      <c r="F2" s="29"/>
      <c r="G2" s="30"/>
      <c r="H2" s="30"/>
      <c r="I2" s="30"/>
      <c r="J2" s="30"/>
      <c r="L2" s="30"/>
      <c r="M2" s="35"/>
      <c r="N2" s="29"/>
      <c r="O2" s="30"/>
      <c r="P2" s="30"/>
    </row>
    <row r="3" spans="2:38" s="2" customFormat="1" x14ac:dyDescent="0.25">
      <c r="B3" s="30"/>
      <c r="C3" s="36" t="s">
        <v>170</v>
      </c>
      <c r="D3" s="36"/>
      <c r="E3" s="35" t="s">
        <v>171</v>
      </c>
      <c r="F3" s="36"/>
      <c r="G3" s="35" t="s">
        <v>172</v>
      </c>
      <c r="H3" s="29"/>
      <c r="I3" s="35" t="s">
        <v>173</v>
      </c>
      <c r="J3" s="30"/>
      <c r="L3" s="30"/>
      <c r="M3" s="36" t="s">
        <v>170</v>
      </c>
      <c r="N3" s="29" t="s">
        <v>171</v>
      </c>
      <c r="O3" s="29" t="s">
        <v>172</v>
      </c>
      <c r="P3" s="30"/>
    </row>
    <row r="4" spans="2:38" s="2" customFormat="1" x14ac:dyDescent="0.25">
      <c r="B4" s="30"/>
      <c r="C4" s="36"/>
      <c r="D4" s="36"/>
      <c r="E4" s="36"/>
      <c r="F4" s="36"/>
      <c r="G4" s="30"/>
      <c r="H4" s="30"/>
      <c r="I4" s="30"/>
      <c r="J4" s="30"/>
      <c r="L4" s="30"/>
      <c r="M4" s="35"/>
      <c r="N4" s="29"/>
      <c r="O4" s="30"/>
      <c r="P4" s="30"/>
    </row>
    <row r="5" spans="2:38" x14ac:dyDescent="0.25">
      <c r="B5" s="30"/>
      <c r="C5" s="29" t="s">
        <v>0</v>
      </c>
      <c r="D5" s="29"/>
      <c r="E5" s="29"/>
      <c r="F5" s="29"/>
      <c r="G5" s="30"/>
      <c r="H5" s="30"/>
      <c r="I5" s="30"/>
      <c r="J5" s="30"/>
      <c r="L5" s="30"/>
      <c r="M5" s="29" t="s">
        <v>0</v>
      </c>
      <c r="N5" s="29"/>
      <c r="O5" s="30"/>
      <c r="P5" s="30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x14ac:dyDescent="0.25">
      <c r="B6" s="30"/>
      <c r="C6" s="29"/>
      <c r="D6" s="29"/>
      <c r="E6" s="29"/>
      <c r="F6" s="29"/>
      <c r="G6" s="30"/>
      <c r="H6" s="30"/>
      <c r="I6" s="30"/>
      <c r="J6" s="30"/>
      <c r="L6" s="30"/>
      <c r="M6" s="29"/>
      <c r="N6" s="29"/>
      <c r="O6" s="30"/>
      <c r="P6" s="30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2:38" x14ac:dyDescent="0.25">
      <c r="B7" s="30"/>
      <c r="C7" s="29" t="s">
        <v>1</v>
      </c>
      <c r="D7" s="29"/>
      <c r="E7" s="29"/>
      <c r="F7" s="29"/>
      <c r="G7" s="30"/>
      <c r="H7" s="30"/>
      <c r="I7" s="30"/>
      <c r="J7" s="30"/>
      <c r="L7" s="30"/>
      <c r="M7" s="29" t="s">
        <v>1</v>
      </c>
      <c r="N7" s="29"/>
      <c r="O7" s="30"/>
      <c r="P7" s="30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x14ac:dyDescent="0.25">
      <c r="B8" s="30"/>
      <c r="C8" s="29"/>
      <c r="D8" s="29"/>
      <c r="E8" s="29"/>
      <c r="F8" s="29"/>
      <c r="G8" s="30"/>
      <c r="H8" s="30"/>
      <c r="I8" s="30"/>
      <c r="J8" s="30"/>
      <c r="L8" s="30"/>
      <c r="M8" s="29"/>
      <c r="N8" s="29"/>
      <c r="O8" s="30"/>
      <c r="P8" s="30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2:38" x14ac:dyDescent="0.25">
      <c r="B9" s="30"/>
      <c r="C9" s="30" t="s">
        <v>148</v>
      </c>
      <c r="D9" s="30"/>
      <c r="E9" s="33">
        <v>3.09</v>
      </c>
      <c r="F9" s="30"/>
      <c r="G9" s="42"/>
      <c r="H9" s="43"/>
      <c r="I9" s="42"/>
      <c r="J9" s="30"/>
      <c r="L9" s="30"/>
      <c r="M9" s="30" t="s">
        <v>2</v>
      </c>
      <c r="N9" s="33">
        <v>2</v>
      </c>
      <c r="O9" s="42">
        <v>2</v>
      </c>
      <c r="P9" s="3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2:38" x14ac:dyDescent="0.25">
      <c r="B10" s="30"/>
      <c r="C10" s="30"/>
      <c r="D10" s="30"/>
      <c r="E10" s="33"/>
      <c r="F10" s="30"/>
      <c r="G10" s="44"/>
      <c r="H10" s="44"/>
      <c r="I10" s="44"/>
      <c r="J10" s="30"/>
      <c r="L10" s="30"/>
      <c r="M10" s="30"/>
      <c r="N10" s="33"/>
      <c r="O10" s="44"/>
      <c r="P10" s="30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2:38" x14ac:dyDescent="0.25">
      <c r="B11" s="30"/>
      <c r="C11" s="30" t="s">
        <v>149</v>
      </c>
      <c r="D11" s="30"/>
      <c r="E11" s="33">
        <v>4.8419999999999996</v>
      </c>
      <c r="F11" s="30"/>
      <c r="G11" s="42"/>
      <c r="H11" s="43"/>
      <c r="I11" s="42"/>
      <c r="J11" s="30"/>
      <c r="L11" s="30"/>
      <c r="M11" s="30" t="s">
        <v>36</v>
      </c>
      <c r="N11" s="33">
        <v>5</v>
      </c>
      <c r="O11" s="42">
        <v>5</v>
      </c>
      <c r="P11" s="30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2:38" x14ac:dyDescent="0.25">
      <c r="B12" s="30"/>
      <c r="C12" s="30"/>
      <c r="D12" s="30"/>
      <c r="E12" s="33"/>
      <c r="F12" s="30"/>
      <c r="G12" s="44"/>
      <c r="H12" s="44"/>
      <c r="I12" s="44"/>
      <c r="J12" s="30"/>
      <c r="L12" s="30"/>
      <c r="M12" s="30"/>
      <c r="N12" s="33"/>
      <c r="O12" s="44"/>
      <c r="P12" s="30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2:38" x14ac:dyDescent="0.25">
      <c r="B13" s="30"/>
      <c r="C13" s="30" t="s">
        <v>150</v>
      </c>
      <c r="D13" s="30"/>
      <c r="E13" s="33">
        <v>2.9550000000000001</v>
      </c>
      <c r="F13" s="30"/>
      <c r="G13" s="42"/>
      <c r="H13" s="43"/>
      <c r="I13" s="42"/>
      <c r="J13" s="30"/>
      <c r="L13" s="30"/>
      <c r="M13" s="29" t="s">
        <v>3</v>
      </c>
      <c r="N13" s="45"/>
      <c r="O13" s="43"/>
      <c r="P13" s="30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2:38" x14ac:dyDescent="0.25">
      <c r="B14" s="30"/>
      <c r="C14" s="30"/>
      <c r="D14" s="30"/>
      <c r="E14" s="33"/>
      <c r="F14" s="30"/>
      <c r="G14" s="44"/>
      <c r="H14" s="44"/>
      <c r="I14" s="44"/>
      <c r="J14" s="30"/>
      <c r="L14" s="30"/>
      <c r="M14" s="29"/>
      <c r="N14" s="45"/>
      <c r="O14" s="44"/>
      <c r="P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2:38" x14ac:dyDescent="0.25">
      <c r="B15" s="30"/>
      <c r="C15" s="30" t="s">
        <v>2</v>
      </c>
      <c r="D15" s="30"/>
      <c r="E15" s="33">
        <v>2</v>
      </c>
      <c r="F15" s="30"/>
      <c r="G15" s="42"/>
      <c r="H15" s="43"/>
      <c r="I15" s="42"/>
      <c r="J15" s="30"/>
      <c r="L15" s="30"/>
      <c r="M15" s="30" t="s">
        <v>5</v>
      </c>
      <c r="N15" s="33">
        <v>4.62</v>
      </c>
      <c r="O15" s="42">
        <v>4.62</v>
      </c>
      <c r="P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2:38" x14ac:dyDescent="0.25">
      <c r="B16" s="30"/>
      <c r="C16" s="30"/>
      <c r="D16" s="30"/>
      <c r="E16" s="33"/>
      <c r="F16" s="30"/>
      <c r="G16" s="44"/>
      <c r="H16" s="44"/>
      <c r="I16" s="44"/>
      <c r="J16" s="30"/>
      <c r="L16" s="30"/>
      <c r="M16" s="30"/>
      <c r="N16" s="33"/>
      <c r="O16" s="44"/>
      <c r="P16" s="30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2:38" x14ac:dyDescent="0.25">
      <c r="B17" s="30"/>
      <c r="C17" s="30" t="s">
        <v>151</v>
      </c>
      <c r="D17" s="30"/>
      <c r="E17" s="33">
        <v>17.45</v>
      </c>
      <c r="F17" s="30"/>
      <c r="G17" s="42"/>
      <c r="H17" s="43"/>
      <c r="I17" s="42"/>
      <c r="J17" s="30"/>
      <c r="L17" s="30"/>
      <c r="M17" s="30" t="s">
        <v>6</v>
      </c>
      <c r="N17" s="33">
        <v>1.82</v>
      </c>
      <c r="O17" s="42">
        <v>1.82</v>
      </c>
      <c r="P17" s="30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2:38" x14ac:dyDescent="0.25">
      <c r="B18" s="30"/>
      <c r="C18" s="30"/>
      <c r="D18" s="30"/>
      <c r="E18" s="33"/>
      <c r="F18" s="30"/>
      <c r="G18" s="44"/>
      <c r="H18" s="44"/>
      <c r="I18" s="44"/>
      <c r="J18" s="30"/>
      <c r="L18" s="30"/>
      <c r="M18" s="30"/>
      <c r="N18" s="33"/>
      <c r="O18" s="44"/>
      <c r="P18" s="30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2:38" x14ac:dyDescent="0.25">
      <c r="B19" s="30"/>
      <c r="C19" s="30" t="s">
        <v>152</v>
      </c>
      <c r="D19" s="30"/>
      <c r="E19" s="33">
        <v>3.99</v>
      </c>
      <c r="F19" s="30"/>
      <c r="G19" s="42"/>
      <c r="H19" s="43"/>
      <c r="I19" s="42"/>
      <c r="J19" s="30"/>
      <c r="L19" s="30"/>
      <c r="M19" s="29" t="s">
        <v>7</v>
      </c>
      <c r="N19" s="45"/>
      <c r="O19" s="43"/>
      <c r="P19" s="30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2:38" x14ac:dyDescent="0.25">
      <c r="B20" s="30"/>
      <c r="C20" s="30"/>
      <c r="D20" s="30"/>
      <c r="E20" s="33"/>
      <c r="F20" s="30"/>
      <c r="G20" s="44"/>
      <c r="H20" s="44"/>
      <c r="I20" s="44"/>
      <c r="J20" s="30"/>
      <c r="L20" s="30"/>
      <c r="M20" s="29"/>
      <c r="N20" s="45"/>
      <c r="O20" s="44"/>
      <c r="P20" s="30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2:38" x14ac:dyDescent="0.25">
      <c r="B21" s="30"/>
      <c r="C21" s="30" t="s">
        <v>153</v>
      </c>
      <c r="D21" s="30"/>
      <c r="E21" s="33">
        <v>4.7300000000000004</v>
      </c>
      <c r="F21" s="30"/>
      <c r="G21" s="42"/>
      <c r="H21" s="43"/>
      <c r="I21" s="42"/>
      <c r="J21" s="30"/>
      <c r="L21" s="30"/>
      <c r="M21" s="30" t="s">
        <v>8</v>
      </c>
      <c r="N21" s="33">
        <v>4.13</v>
      </c>
      <c r="O21" s="42">
        <v>4.13</v>
      </c>
      <c r="P21" s="30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2:38" x14ac:dyDescent="0.25">
      <c r="B22" s="30"/>
      <c r="C22" s="30"/>
      <c r="D22" s="30"/>
      <c r="E22" s="33"/>
      <c r="F22" s="30"/>
      <c r="G22" s="44"/>
      <c r="H22" s="44"/>
      <c r="I22" s="44"/>
      <c r="J22" s="30"/>
      <c r="L22" s="30"/>
      <c r="M22" s="30"/>
      <c r="N22" s="33"/>
      <c r="O22" s="44"/>
      <c r="P22" s="30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x14ac:dyDescent="0.25">
      <c r="B23" s="30"/>
      <c r="C23" s="29" t="s">
        <v>3</v>
      </c>
      <c r="D23" s="29"/>
      <c r="E23" s="45"/>
      <c r="F23" s="29"/>
      <c r="G23" s="44"/>
      <c r="H23" s="44"/>
      <c r="I23" s="44"/>
      <c r="J23" s="30"/>
      <c r="L23" s="30"/>
      <c r="M23" s="29" t="s">
        <v>9</v>
      </c>
      <c r="N23" s="45"/>
      <c r="O23" s="44"/>
      <c r="P23" s="30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2:38" x14ac:dyDescent="0.25">
      <c r="B24" s="30"/>
      <c r="C24" s="29"/>
      <c r="D24" s="29"/>
      <c r="E24" s="45"/>
      <c r="F24" s="29"/>
      <c r="G24" s="44"/>
      <c r="H24" s="44"/>
      <c r="I24" s="44"/>
      <c r="J24" s="30"/>
      <c r="L24" s="30"/>
      <c r="M24" s="29"/>
      <c r="N24" s="45"/>
      <c r="O24" s="44"/>
      <c r="P24" s="30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2:38" x14ac:dyDescent="0.25">
      <c r="B25" s="30"/>
      <c r="C25" s="30" t="s">
        <v>154</v>
      </c>
      <c r="D25" s="30"/>
      <c r="E25" s="33">
        <v>4.1399999999999997</v>
      </c>
      <c r="F25" s="30"/>
      <c r="G25" s="42"/>
      <c r="H25" s="43"/>
      <c r="I25" s="42"/>
      <c r="J25" s="30"/>
      <c r="L25" s="30"/>
      <c r="M25" s="30" t="s">
        <v>10</v>
      </c>
      <c r="N25" s="33">
        <v>3.34</v>
      </c>
      <c r="O25" s="42">
        <v>3.34</v>
      </c>
      <c r="P25" s="30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2:38" x14ac:dyDescent="0.25">
      <c r="B26" s="30"/>
      <c r="C26" s="30"/>
      <c r="D26" s="30"/>
      <c r="E26" s="33"/>
      <c r="F26" s="30"/>
      <c r="G26" s="44"/>
      <c r="H26" s="44"/>
      <c r="I26" s="44"/>
      <c r="J26" s="30"/>
      <c r="L26" s="30"/>
      <c r="M26" s="30"/>
      <c r="N26" s="33"/>
      <c r="O26" s="44"/>
      <c r="P26" s="30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2:38" x14ac:dyDescent="0.25">
      <c r="B27" s="30"/>
      <c r="C27" s="30" t="s">
        <v>155</v>
      </c>
      <c r="D27" s="30"/>
      <c r="E27" s="33">
        <v>4.43</v>
      </c>
      <c r="F27" s="30"/>
      <c r="G27" s="42"/>
      <c r="H27" s="43"/>
      <c r="I27" s="42"/>
      <c r="J27" s="30"/>
      <c r="L27" s="30"/>
      <c r="M27" s="30" t="s">
        <v>11</v>
      </c>
      <c r="N27" s="33">
        <v>4.7</v>
      </c>
      <c r="O27" s="42">
        <v>4.7</v>
      </c>
      <c r="P27" s="30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2:38" x14ac:dyDescent="0.25">
      <c r="B28" s="30"/>
      <c r="C28" s="30"/>
      <c r="D28" s="30"/>
      <c r="E28" s="33"/>
      <c r="F28" s="30"/>
      <c r="G28" s="44"/>
      <c r="H28" s="44"/>
      <c r="I28" s="44"/>
      <c r="J28" s="30"/>
      <c r="L28" s="30"/>
      <c r="M28" s="30"/>
      <c r="N28" s="33"/>
      <c r="O28" s="44"/>
      <c r="P28" s="30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2:38" x14ac:dyDescent="0.25">
      <c r="B29" s="30"/>
      <c r="C29" s="30" t="s">
        <v>4</v>
      </c>
      <c r="D29" s="30"/>
      <c r="E29" s="33">
        <v>23.66</v>
      </c>
      <c r="F29" s="30"/>
      <c r="G29" s="42"/>
      <c r="H29" s="43"/>
      <c r="I29" s="42"/>
      <c r="J29" s="30"/>
      <c r="L29" s="30"/>
      <c r="M29" s="30" t="s">
        <v>76</v>
      </c>
      <c r="N29" s="33">
        <v>13.04</v>
      </c>
      <c r="O29" s="42">
        <v>13.04</v>
      </c>
      <c r="P29" s="3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2:38" x14ac:dyDescent="0.25">
      <c r="B30" s="30"/>
      <c r="C30" s="30"/>
      <c r="D30" s="30"/>
      <c r="E30" s="33"/>
      <c r="F30" s="30"/>
      <c r="G30" s="44"/>
      <c r="H30" s="44"/>
      <c r="I30" s="44"/>
      <c r="J30" s="30"/>
      <c r="L30" s="30"/>
      <c r="M30" s="30"/>
      <c r="N30" s="33"/>
      <c r="O30" s="44"/>
      <c r="P30" s="30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2:38" x14ac:dyDescent="0.25">
      <c r="B31" s="30"/>
      <c r="C31" s="30" t="s">
        <v>156</v>
      </c>
      <c r="D31" s="30"/>
      <c r="E31" s="33">
        <v>1.45</v>
      </c>
      <c r="F31" s="30"/>
      <c r="G31" s="42"/>
      <c r="H31" s="43"/>
      <c r="I31" s="42"/>
      <c r="J31" s="30"/>
      <c r="L31" s="30"/>
      <c r="M31" s="30" t="s">
        <v>75</v>
      </c>
      <c r="N31" s="33">
        <v>13.04</v>
      </c>
      <c r="O31" s="42">
        <v>13.04</v>
      </c>
      <c r="P31" s="30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2:38" x14ac:dyDescent="0.25">
      <c r="B32" s="30"/>
      <c r="C32" s="30"/>
      <c r="D32" s="30"/>
      <c r="E32" s="33"/>
      <c r="F32" s="30"/>
      <c r="G32" s="44"/>
      <c r="H32" s="44"/>
      <c r="I32" s="44"/>
      <c r="J32" s="30"/>
      <c r="L32" s="30"/>
      <c r="M32" s="30"/>
      <c r="N32" s="33"/>
      <c r="O32" s="44"/>
      <c r="P32" s="30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2:38" x14ac:dyDescent="0.25">
      <c r="B33" s="30"/>
      <c r="C33" s="30" t="s">
        <v>157</v>
      </c>
      <c r="D33" s="30"/>
      <c r="E33" s="33">
        <v>1.91</v>
      </c>
      <c r="F33" s="30"/>
      <c r="G33" s="42"/>
      <c r="H33" s="43"/>
      <c r="I33" s="42"/>
      <c r="J33" s="30"/>
      <c r="L33" s="30"/>
      <c r="M33" s="30" t="s">
        <v>12</v>
      </c>
      <c r="N33" s="33">
        <v>8.19</v>
      </c>
      <c r="O33" s="42">
        <v>8.19</v>
      </c>
      <c r="P33" s="3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2:38" x14ac:dyDescent="0.25">
      <c r="B34" s="30"/>
      <c r="C34" s="30"/>
      <c r="D34" s="30"/>
      <c r="E34" s="33"/>
      <c r="F34" s="30"/>
      <c r="G34" s="44"/>
      <c r="H34" s="44"/>
      <c r="I34" s="44"/>
      <c r="J34" s="30"/>
      <c r="L34" s="30"/>
      <c r="M34" s="30"/>
      <c r="N34" s="33"/>
      <c r="O34" s="44"/>
      <c r="P34" s="30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2:38" x14ac:dyDescent="0.25">
      <c r="B35" s="30"/>
      <c r="C35" s="30" t="s">
        <v>5</v>
      </c>
      <c r="D35" s="30"/>
      <c r="E35" s="33">
        <v>4.62</v>
      </c>
      <c r="F35" s="30"/>
      <c r="G35" s="42"/>
      <c r="H35" s="43"/>
      <c r="I35" s="42"/>
      <c r="J35" s="30"/>
      <c r="L35" s="30"/>
      <c r="M35" s="30" t="s">
        <v>72</v>
      </c>
      <c r="N35" s="33">
        <v>9.1999999999999993</v>
      </c>
      <c r="O35" s="42">
        <v>9.1999999999999993</v>
      </c>
      <c r="P35" s="30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2:38" x14ac:dyDescent="0.25">
      <c r="B36" s="30"/>
      <c r="C36" s="30"/>
      <c r="D36" s="30"/>
      <c r="E36" s="33"/>
      <c r="F36" s="30"/>
      <c r="G36" s="44"/>
      <c r="H36" s="44"/>
      <c r="I36" s="44"/>
      <c r="J36" s="30"/>
      <c r="L36" s="30"/>
      <c r="M36" s="30"/>
      <c r="N36" s="33"/>
      <c r="O36" s="44"/>
      <c r="P36" s="30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2:38" x14ac:dyDescent="0.25">
      <c r="B37" s="30"/>
      <c r="C37" s="30" t="s">
        <v>6</v>
      </c>
      <c r="D37" s="30"/>
      <c r="E37" s="33">
        <v>1.82</v>
      </c>
      <c r="F37" s="30"/>
      <c r="G37" s="42"/>
      <c r="H37" s="43"/>
      <c r="I37" s="42"/>
      <c r="J37" s="30"/>
      <c r="L37" s="30"/>
      <c r="M37" s="30" t="s">
        <v>13</v>
      </c>
      <c r="N37" s="33">
        <v>10.62</v>
      </c>
      <c r="O37" s="42">
        <v>10.62</v>
      </c>
      <c r="P37" s="30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2:38" x14ac:dyDescent="0.25">
      <c r="B38" s="30"/>
      <c r="C38" s="30"/>
      <c r="D38" s="30"/>
      <c r="E38" s="33"/>
      <c r="F38" s="30"/>
      <c r="G38" s="44"/>
      <c r="H38" s="44"/>
      <c r="I38" s="44"/>
      <c r="J38" s="30"/>
      <c r="L38" s="30"/>
      <c r="M38" s="30"/>
      <c r="N38" s="33"/>
      <c r="O38" s="44"/>
      <c r="P38" s="30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2:38" x14ac:dyDescent="0.25">
      <c r="B39" s="30"/>
      <c r="C39" s="29" t="s">
        <v>7</v>
      </c>
      <c r="D39" s="29"/>
      <c r="E39" s="45"/>
      <c r="F39" s="29"/>
      <c r="G39" s="44"/>
      <c r="H39" s="44"/>
      <c r="I39" s="44"/>
      <c r="J39" s="30"/>
      <c r="L39" s="30"/>
      <c r="M39" s="29" t="s">
        <v>14</v>
      </c>
      <c r="N39" s="45"/>
      <c r="O39" s="44"/>
      <c r="P39" s="3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2:38" x14ac:dyDescent="0.25">
      <c r="B40" s="30"/>
      <c r="C40" s="29"/>
      <c r="D40" s="29"/>
      <c r="E40" s="45"/>
      <c r="F40" s="29"/>
      <c r="G40" s="44"/>
      <c r="H40" s="44"/>
      <c r="I40" s="44"/>
      <c r="J40" s="30"/>
      <c r="L40" s="30"/>
      <c r="M40" s="29"/>
      <c r="N40" s="45"/>
      <c r="O40" s="44"/>
      <c r="P40" s="30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2:38" x14ac:dyDescent="0.25">
      <c r="B41" s="30"/>
      <c r="C41" s="30" t="s">
        <v>8</v>
      </c>
      <c r="D41" s="30"/>
      <c r="E41" s="33">
        <v>4.13</v>
      </c>
      <c r="F41" s="30"/>
      <c r="G41" s="42"/>
      <c r="H41" s="43"/>
      <c r="I41" s="42"/>
      <c r="J41" s="30"/>
      <c r="L41" s="30"/>
      <c r="M41" s="30" t="s">
        <v>185</v>
      </c>
      <c r="N41" s="33">
        <v>60</v>
      </c>
      <c r="O41" s="42">
        <v>60</v>
      </c>
      <c r="P41" s="3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2:38" x14ac:dyDescent="0.25">
      <c r="B42" s="30"/>
      <c r="C42" s="30"/>
      <c r="D42" s="30"/>
      <c r="E42" s="33"/>
      <c r="F42" s="30"/>
      <c r="G42" s="44"/>
      <c r="H42" s="44"/>
      <c r="I42" s="44"/>
      <c r="J42" s="30"/>
      <c r="L42" s="30"/>
      <c r="M42" s="30"/>
      <c r="N42" s="33"/>
      <c r="O42" s="44"/>
      <c r="P42" s="30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38" x14ac:dyDescent="0.25">
      <c r="B43" s="30"/>
      <c r="C43" s="29" t="s">
        <v>9</v>
      </c>
      <c r="D43" s="29"/>
      <c r="E43" s="45"/>
      <c r="F43" s="29"/>
      <c r="G43" s="44"/>
      <c r="H43" s="44"/>
      <c r="I43" s="44"/>
      <c r="J43" s="30"/>
      <c r="L43" s="30"/>
      <c r="M43" s="30" t="s">
        <v>4</v>
      </c>
      <c r="N43" s="33">
        <v>24.31</v>
      </c>
      <c r="O43" s="42">
        <v>24.31</v>
      </c>
      <c r="P43" s="30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2:38" x14ac:dyDescent="0.25">
      <c r="B44" s="30"/>
      <c r="C44" s="29"/>
      <c r="D44" s="29"/>
      <c r="E44" s="45"/>
      <c r="F44" s="29"/>
      <c r="G44" s="44"/>
      <c r="H44" s="44"/>
      <c r="I44" s="44"/>
      <c r="J44" s="30"/>
      <c r="L44" s="30"/>
      <c r="M44" s="30"/>
      <c r="N44" s="33"/>
      <c r="O44" s="44"/>
      <c r="P44" s="30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2:38" x14ac:dyDescent="0.25">
      <c r="B45" s="30"/>
      <c r="C45" s="30" t="s">
        <v>10</v>
      </c>
      <c r="D45" s="30"/>
      <c r="E45" s="33">
        <v>3.34</v>
      </c>
      <c r="F45" s="30"/>
      <c r="G45" s="42"/>
      <c r="H45" s="43"/>
      <c r="I45" s="42"/>
      <c r="J45" s="30"/>
      <c r="L45" s="30"/>
      <c r="M45" s="30" t="s">
        <v>15</v>
      </c>
      <c r="N45" s="33">
        <v>53.03</v>
      </c>
      <c r="O45" s="42">
        <v>53.03</v>
      </c>
      <c r="P45" s="30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2:38" x14ac:dyDescent="0.25">
      <c r="B46" s="30"/>
      <c r="C46" s="30"/>
      <c r="D46" s="30"/>
      <c r="E46" s="33"/>
      <c r="F46" s="30"/>
      <c r="G46" s="44"/>
      <c r="H46" s="44"/>
      <c r="I46" s="44"/>
      <c r="J46" s="30"/>
      <c r="L46" s="30"/>
      <c r="M46" s="30"/>
      <c r="N46" s="33"/>
      <c r="O46" s="44"/>
      <c r="P46" s="30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2:38" x14ac:dyDescent="0.25">
      <c r="B47" s="30"/>
      <c r="C47" s="30" t="s">
        <v>11</v>
      </c>
      <c r="D47" s="30"/>
      <c r="E47" s="33">
        <v>4.7</v>
      </c>
      <c r="F47" s="30"/>
      <c r="G47" s="42"/>
      <c r="H47" s="43"/>
      <c r="I47" s="42"/>
      <c r="J47" s="30"/>
      <c r="L47" s="30"/>
      <c r="M47" s="30" t="s">
        <v>16</v>
      </c>
      <c r="N47" s="33">
        <v>45.97</v>
      </c>
      <c r="O47" s="42">
        <v>45.97</v>
      </c>
      <c r="P47" s="30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2:38" x14ac:dyDescent="0.25">
      <c r="B48" s="30"/>
      <c r="C48" s="30"/>
      <c r="D48" s="30"/>
      <c r="E48" s="33"/>
      <c r="F48" s="30"/>
      <c r="G48" s="44"/>
      <c r="H48" s="44"/>
      <c r="I48" s="44"/>
      <c r="J48" s="30"/>
      <c r="L48" s="30"/>
      <c r="M48" s="30"/>
      <c r="N48" s="33"/>
      <c r="O48" s="44"/>
      <c r="P48" s="30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38" x14ac:dyDescent="0.25">
      <c r="B49" s="30"/>
      <c r="C49" s="30" t="s">
        <v>76</v>
      </c>
      <c r="D49" s="30"/>
      <c r="E49" s="33">
        <v>13.04</v>
      </c>
      <c r="F49" s="30"/>
      <c r="G49" s="42"/>
      <c r="H49" s="43"/>
      <c r="I49" s="42"/>
      <c r="J49" s="30"/>
      <c r="L49" s="30"/>
      <c r="M49" s="29" t="s">
        <v>17</v>
      </c>
      <c r="N49" s="45"/>
      <c r="O49" s="44"/>
      <c r="P49" s="30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2:38" x14ac:dyDescent="0.25">
      <c r="B50" s="30"/>
      <c r="C50" s="30"/>
      <c r="D50" s="30"/>
      <c r="E50" s="33"/>
      <c r="F50" s="30"/>
      <c r="G50" s="43"/>
      <c r="H50" s="43"/>
      <c r="I50" s="43"/>
      <c r="J50" s="30"/>
      <c r="L50" s="30"/>
      <c r="M50" s="29"/>
      <c r="N50" s="45"/>
      <c r="O50" s="44"/>
      <c r="P50" s="30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2:38" x14ac:dyDescent="0.25">
      <c r="B51" s="30"/>
      <c r="C51" s="30" t="s">
        <v>75</v>
      </c>
      <c r="D51" s="30"/>
      <c r="E51" s="33">
        <v>13.04</v>
      </c>
      <c r="F51" s="30"/>
      <c r="G51" s="42"/>
      <c r="H51" s="43"/>
      <c r="I51" s="42"/>
      <c r="J51" s="30"/>
      <c r="L51" s="30"/>
      <c r="M51" s="30" t="s">
        <v>18</v>
      </c>
      <c r="N51" s="33">
        <v>1000</v>
      </c>
      <c r="O51" s="42">
        <v>1000</v>
      </c>
      <c r="P51" s="30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38" x14ac:dyDescent="0.25">
      <c r="B52" s="30"/>
      <c r="C52" s="30"/>
      <c r="D52" s="30"/>
      <c r="E52" s="33"/>
      <c r="F52" s="30"/>
      <c r="G52" s="44"/>
      <c r="H52" s="44"/>
      <c r="I52" s="44"/>
      <c r="J52" s="30"/>
      <c r="L52" s="30"/>
      <c r="M52" s="30"/>
      <c r="N52" s="33"/>
      <c r="O52" s="44"/>
      <c r="P52" s="3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2:38" x14ac:dyDescent="0.25">
      <c r="B53" s="30"/>
      <c r="C53" s="30" t="s">
        <v>12</v>
      </c>
      <c r="D53" s="30"/>
      <c r="E53" s="33">
        <v>8.19</v>
      </c>
      <c r="F53" s="30"/>
      <c r="G53" s="42"/>
      <c r="H53" s="43"/>
      <c r="I53" s="42"/>
      <c r="J53" s="30"/>
      <c r="L53" s="30"/>
      <c r="M53" s="29" t="s">
        <v>19</v>
      </c>
      <c r="N53" s="45"/>
      <c r="O53" s="44"/>
      <c r="P53" s="30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2:38" x14ac:dyDescent="0.25">
      <c r="B54" s="30"/>
      <c r="C54" s="30"/>
      <c r="D54" s="30"/>
      <c r="E54" s="33"/>
      <c r="F54" s="30"/>
      <c r="G54" s="43"/>
      <c r="H54" s="43"/>
      <c r="I54" s="43"/>
      <c r="J54" s="30"/>
      <c r="L54" s="30"/>
      <c r="M54" s="29"/>
      <c r="N54" s="45"/>
      <c r="O54" s="44"/>
      <c r="P54" s="30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2:38" x14ac:dyDescent="0.25">
      <c r="B55" s="30"/>
      <c r="C55" s="30" t="s">
        <v>72</v>
      </c>
      <c r="D55" s="30"/>
      <c r="E55" s="33">
        <v>9.1999999999999993</v>
      </c>
      <c r="F55" s="30"/>
      <c r="G55" s="42"/>
      <c r="H55" s="43"/>
      <c r="I55" s="42"/>
      <c r="J55" s="30"/>
      <c r="L55" s="30"/>
      <c r="M55" s="30" t="s">
        <v>20</v>
      </c>
      <c r="N55" s="33">
        <v>12000</v>
      </c>
      <c r="O55" s="42">
        <v>12000</v>
      </c>
      <c r="P55" s="30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2:38" x14ac:dyDescent="0.25">
      <c r="B56" s="30"/>
      <c r="C56" s="30"/>
      <c r="D56" s="30"/>
      <c r="E56" s="33"/>
      <c r="F56" s="30"/>
      <c r="G56" s="44"/>
      <c r="H56" s="44"/>
      <c r="I56" s="44"/>
      <c r="J56" s="30"/>
      <c r="L56" s="30"/>
      <c r="M56" s="30"/>
      <c r="N56" s="33"/>
      <c r="O56" s="44"/>
      <c r="P56" s="30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2:38" x14ac:dyDescent="0.25">
      <c r="B57" s="30"/>
      <c r="C57" s="30" t="s">
        <v>13</v>
      </c>
      <c r="D57" s="30"/>
      <c r="E57" s="33">
        <v>10.62</v>
      </c>
      <c r="F57" s="30"/>
      <c r="G57" s="42"/>
      <c r="H57" s="43"/>
      <c r="I57" s="42"/>
      <c r="J57" s="30"/>
      <c r="L57" s="30"/>
      <c r="M57" s="29" t="s">
        <v>21</v>
      </c>
      <c r="N57" s="45"/>
      <c r="O57" s="44"/>
      <c r="P57" s="30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2:38" x14ac:dyDescent="0.25">
      <c r="B58" s="30"/>
      <c r="C58" s="30"/>
      <c r="D58" s="30"/>
      <c r="E58" s="33"/>
      <c r="F58" s="30"/>
      <c r="G58" s="44"/>
      <c r="H58" s="44"/>
      <c r="I58" s="44"/>
      <c r="J58" s="30"/>
      <c r="L58" s="30"/>
      <c r="M58" s="29"/>
      <c r="N58" s="45"/>
      <c r="O58" s="44"/>
      <c r="P58" s="30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2:38" x14ac:dyDescent="0.25">
      <c r="B59" s="30"/>
      <c r="C59" s="29" t="s">
        <v>14</v>
      </c>
      <c r="D59" s="29"/>
      <c r="E59" s="45"/>
      <c r="F59" s="29"/>
      <c r="G59" s="44"/>
      <c r="H59" s="44"/>
      <c r="I59" s="44"/>
      <c r="J59" s="30"/>
      <c r="L59" s="30"/>
      <c r="M59" s="30" t="s">
        <v>132</v>
      </c>
      <c r="N59" s="33">
        <v>500</v>
      </c>
      <c r="O59" s="42">
        <v>500</v>
      </c>
      <c r="P59" s="30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2:38" x14ac:dyDescent="0.25">
      <c r="B60" s="30"/>
      <c r="C60" s="29"/>
      <c r="D60" s="29"/>
      <c r="E60" s="45"/>
      <c r="F60" s="29"/>
      <c r="G60" s="44"/>
      <c r="H60" s="44"/>
      <c r="I60" s="44"/>
      <c r="J60" s="30"/>
      <c r="L60" s="30"/>
      <c r="M60" s="30"/>
      <c r="N60" s="30"/>
      <c r="O60" s="30"/>
      <c r="P60" s="30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38" x14ac:dyDescent="0.25">
      <c r="B61" s="30"/>
      <c r="C61" s="30" t="s">
        <v>158</v>
      </c>
      <c r="D61" s="30"/>
      <c r="E61" s="33">
        <v>60.69</v>
      </c>
      <c r="F61" s="30"/>
      <c r="G61" s="42"/>
      <c r="H61" s="43"/>
      <c r="I61" s="42"/>
      <c r="J61" s="30"/>
      <c r="M61" s="2"/>
      <c r="N61" s="2"/>
      <c r="O61" s="2"/>
      <c r="P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2:38" x14ac:dyDescent="0.25">
      <c r="B62" s="30"/>
      <c r="C62" s="30"/>
      <c r="D62" s="30"/>
      <c r="E62" s="33"/>
      <c r="F62" s="30"/>
      <c r="G62" s="44"/>
      <c r="H62" s="44"/>
      <c r="I62" s="44"/>
      <c r="J62" s="30"/>
      <c r="M62" s="2"/>
      <c r="N62" s="2"/>
      <c r="O62" s="2"/>
      <c r="P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2:38" x14ac:dyDescent="0.25">
      <c r="B63" s="30"/>
      <c r="C63" s="30" t="s">
        <v>159</v>
      </c>
      <c r="D63" s="30"/>
      <c r="E63" s="33">
        <v>80.97</v>
      </c>
      <c r="F63" s="30"/>
      <c r="G63" s="42"/>
      <c r="H63" s="43"/>
      <c r="I63" s="42"/>
      <c r="J63" s="30"/>
      <c r="M63" s="2"/>
      <c r="N63" s="2"/>
      <c r="O63" s="2"/>
      <c r="P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2:38" x14ac:dyDescent="0.25">
      <c r="B64" s="30"/>
      <c r="C64" s="30"/>
      <c r="D64" s="30"/>
      <c r="E64" s="33"/>
      <c r="F64" s="30"/>
      <c r="G64" s="44"/>
      <c r="H64" s="44"/>
      <c r="I64" s="44"/>
      <c r="J64" s="30"/>
      <c r="M64" s="2"/>
      <c r="N64" s="2"/>
      <c r="O64" s="2"/>
      <c r="P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2:38" x14ac:dyDescent="0.25">
      <c r="B65" s="30"/>
      <c r="C65" s="30" t="s">
        <v>160</v>
      </c>
      <c r="D65" s="30"/>
      <c r="E65" s="33">
        <v>55.83</v>
      </c>
      <c r="F65" s="30"/>
      <c r="G65" s="42"/>
      <c r="H65" s="43"/>
      <c r="I65" s="42"/>
      <c r="J65" s="30"/>
      <c r="M65" s="2"/>
      <c r="N65" s="2"/>
      <c r="O65" s="2"/>
      <c r="P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2:38" x14ac:dyDescent="0.25">
      <c r="B66" s="30"/>
      <c r="C66" s="30"/>
      <c r="D66" s="30"/>
      <c r="E66" s="33"/>
      <c r="F66" s="30"/>
      <c r="G66" s="44"/>
      <c r="H66" s="44"/>
      <c r="I66" s="44"/>
      <c r="J66" s="30"/>
      <c r="M66" s="2"/>
      <c r="N66" s="2"/>
      <c r="O66" s="2"/>
      <c r="P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2:38" x14ac:dyDescent="0.25">
      <c r="B67" s="30"/>
      <c r="C67" s="30" t="s">
        <v>4</v>
      </c>
      <c r="D67" s="30"/>
      <c r="E67" s="33">
        <v>24.31</v>
      </c>
      <c r="F67" s="30"/>
      <c r="G67" s="42"/>
      <c r="H67" s="43"/>
      <c r="I67" s="42"/>
      <c r="J67" s="30"/>
      <c r="M67" s="2"/>
      <c r="N67" s="2"/>
      <c r="O67" s="2"/>
      <c r="P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2:38" x14ac:dyDescent="0.25">
      <c r="B68" s="30"/>
      <c r="C68" s="30"/>
      <c r="D68" s="30"/>
      <c r="E68" s="33"/>
      <c r="F68" s="30"/>
      <c r="G68" s="44"/>
      <c r="H68" s="44"/>
      <c r="I68" s="44"/>
      <c r="J68" s="30"/>
      <c r="M68" s="2"/>
      <c r="N68" s="2"/>
      <c r="O68" s="2"/>
      <c r="P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2:38" x14ac:dyDescent="0.25">
      <c r="B69" s="30"/>
      <c r="C69" s="30" t="s">
        <v>15</v>
      </c>
      <c r="D69" s="30"/>
      <c r="E69" s="33">
        <v>53.03</v>
      </c>
      <c r="F69" s="30"/>
      <c r="G69" s="42"/>
      <c r="H69" s="43"/>
      <c r="I69" s="42"/>
      <c r="J69" s="30"/>
      <c r="M69" s="2"/>
      <c r="N69" s="2"/>
      <c r="O69" s="2"/>
      <c r="P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2:38" x14ac:dyDescent="0.25">
      <c r="B70" s="30"/>
      <c r="C70" s="30"/>
      <c r="D70" s="30"/>
      <c r="E70" s="33"/>
      <c r="F70" s="30"/>
      <c r="G70" s="44"/>
      <c r="H70" s="44"/>
      <c r="I70" s="44"/>
      <c r="J70" s="30"/>
      <c r="M70" s="2"/>
      <c r="N70" s="2"/>
      <c r="O70" s="2"/>
      <c r="P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2:38" x14ac:dyDescent="0.25">
      <c r="B71" s="30"/>
      <c r="C71" s="30" t="s">
        <v>16</v>
      </c>
      <c r="D71" s="30"/>
      <c r="E71" s="33">
        <v>45.97</v>
      </c>
      <c r="F71" s="30"/>
      <c r="G71" s="42"/>
      <c r="H71" s="43"/>
      <c r="I71" s="42"/>
      <c r="J71" s="30"/>
      <c r="M71" s="2"/>
      <c r="N71" s="2"/>
      <c r="O71" s="2"/>
      <c r="P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2:38" x14ac:dyDescent="0.25">
      <c r="B72" s="30"/>
      <c r="C72" s="30"/>
      <c r="D72" s="30"/>
      <c r="E72" s="33"/>
      <c r="F72" s="30"/>
      <c r="G72" s="44"/>
      <c r="H72" s="44"/>
      <c r="I72" s="44"/>
      <c r="J72" s="30"/>
      <c r="M72" s="2"/>
      <c r="N72" s="2"/>
      <c r="O72" s="2"/>
      <c r="P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2:38" x14ac:dyDescent="0.25">
      <c r="B73" s="30"/>
      <c r="C73" s="30" t="s">
        <v>161</v>
      </c>
      <c r="D73" s="30"/>
      <c r="E73" s="33">
        <v>558.32000000000005</v>
      </c>
      <c r="F73" s="30"/>
      <c r="G73" s="42"/>
      <c r="H73" s="43"/>
      <c r="I73" s="42"/>
      <c r="J73" s="30"/>
      <c r="M73" s="2"/>
      <c r="N73" s="2"/>
      <c r="O73" s="2"/>
      <c r="P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2:38" x14ac:dyDescent="0.25">
      <c r="B74" s="30"/>
      <c r="C74" s="30"/>
      <c r="D74" s="30"/>
      <c r="E74" s="33"/>
      <c r="F74" s="30"/>
      <c r="G74" s="44"/>
      <c r="H74" s="44"/>
      <c r="I74" s="44"/>
      <c r="J74" s="30"/>
      <c r="M74" s="2"/>
      <c r="N74" s="2"/>
      <c r="O74" s="2"/>
      <c r="P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2:38" x14ac:dyDescent="0.25">
      <c r="B75" s="30"/>
      <c r="C75" s="29" t="s">
        <v>17</v>
      </c>
      <c r="D75" s="29"/>
      <c r="E75" s="45"/>
      <c r="F75" s="29"/>
      <c r="G75" s="44"/>
      <c r="H75" s="44"/>
      <c r="I75" s="44"/>
      <c r="J75" s="30"/>
      <c r="M75" s="2"/>
      <c r="N75" s="2"/>
      <c r="O75" s="2"/>
      <c r="P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38" x14ac:dyDescent="0.25">
      <c r="B76" s="30"/>
      <c r="C76" s="29"/>
      <c r="D76" s="29"/>
      <c r="E76" s="45"/>
      <c r="F76" s="29"/>
      <c r="G76" s="44"/>
      <c r="H76" s="44"/>
      <c r="I76" s="44"/>
      <c r="J76" s="30"/>
      <c r="M76" s="2"/>
      <c r="N76" s="2"/>
      <c r="O76" s="2"/>
      <c r="P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2:38" x14ac:dyDescent="0.25">
      <c r="B77" s="30"/>
      <c r="C77" s="30" t="s">
        <v>18</v>
      </c>
      <c r="D77" s="30"/>
      <c r="E77" s="33">
        <v>1000</v>
      </c>
      <c r="F77" s="30"/>
      <c r="G77" s="42"/>
      <c r="H77" s="43"/>
      <c r="I77" s="42"/>
      <c r="J77" s="30"/>
      <c r="M77" s="2"/>
      <c r="N77" s="2"/>
      <c r="O77" s="2"/>
      <c r="P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2:38" x14ac:dyDescent="0.25">
      <c r="B78" s="30"/>
      <c r="C78" s="30"/>
      <c r="D78" s="30"/>
      <c r="E78" s="33"/>
      <c r="F78" s="30"/>
      <c r="G78" s="44"/>
      <c r="H78" s="44"/>
      <c r="I78" s="44"/>
      <c r="J78" s="30"/>
      <c r="M78" s="2"/>
      <c r="N78" s="2"/>
      <c r="O78" s="2"/>
      <c r="P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2:38" x14ac:dyDescent="0.25">
      <c r="B79" s="30"/>
      <c r="C79" s="29" t="s">
        <v>19</v>
      </c>
      <c r="D79" s="29"/>
      <c r="E79" s="45"/>
      <c r="F79" s="29"/>
      <c r="G79" s="44"/>
      <c r="H79" s="44"/>
      <c r="I79" s="44"/>
      <c r="J79" s="30"/>
      <c r="M79" s="2"/>
      <c r="N79" s="2"/>
      <c r="O79" s="2"/>
      <c r="P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2:38" x14ac:dyDescent="0.25">
      <c r="B80" s="30"/>
      <c r="C80" s="29"/>
      <c r="D80" s="29"/>
      <c r="E80" s="45"/>
      <c r="F80" s="29"/>
      <c r="G80" s="44"/>
      <c r="H80" s="44"/>
      <c r="I80" s="44"/>
      <c r="J80" s="30"/>
      <c r="M80" s="2"/>
      <c r="N80" s="2"/>
      <c r="O80" s="2"/>
      <c r="P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2:38" x14ac:dyDescent="0.25">
      <c r="B81" s="30"/>
      <c r="C81" s="30" t="s">
        <v>20</v>
      </c>
      <c r="D81" s="30"/>
      <c r="E81" s="33">
        <v>12000</v>
      </c>
      <c r="F81" s="30"/>
      <c r="G81" s="42"/>
      <c r="H81" s="43"/>
      <c r="I81" s="42"/>
      <c r="J81" s="30"/>
      <c r="M81" s="2"/>
      <c r="N81" s="2"/>
      <c r="O81" s="2"/>
      <c r="P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2:38" x14ac:dyDescent="0.25">
      <c r="B82" s="30"/>
      <c r="C82" s="30"/>
      <c r="D82" s="30"/>
      <c r="E82" s="33"/>
      <c r="F82" s="30"/>
      <c r="G82" s="44"/>
      <c r="H82" s="44"/>
      <c r="I82" s="44"/>
      <c r="J82" s="30"/>
      <c r="M82" s="2"/>
      <c r="N82" s="2"/>
      <c r="O82" s="2"/>
      <c r="P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2:38" x14ac:dyDescent="0.25">
      <c r="B83" s="30"/>
      <c r="C83" s="29" t="s">
        <v>21</v>
      </c>
      <c r="D83" s="29"/>
      <c r="E83" s="45"/>
      <c r="F83" s="29"/>
      <c r="G83" s="44"/>
      <c r="H83" s="44"/>
      <c r="I83" s="44"/>
      <c r="J83" s="30"/>
      <c r="M83" s="2"/>
      <c r="N83" s="2"/>
      <c r="O83" s="2"/>
      <c r="P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2:38" x14ac:dyDescent="0.25">
      <c r="B84" s="30"/>
      <c r="C84" s="29"/>
      <c r="D84" s="29"/>
      <c r="E84" s="45"/>
      <c r="F84" s="29"/>
      <c r="G84" s="44"/>
      <c r="H84" s="44"/>
      <c r="I84" s="44"/>
      <c r="J84" s="30"/>
      <c r="M84" s="2"/>
      <c r="N84" s="2"/>
      <c r="O84" s="2"/>
      <c r="P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2:38" x14ac:dyDescent="0.25">
      <c r="B85" s="30"/>
      <c r="C85" s="30" t="s">
        <v>132</v>
      </c>
      <c r="D85" s="30"/>
      <c r="E85" s="33">
        <v>500</v>
      </c>
      <c r="F85" s="30"/>
      <c r="G85" s="42"/>
      <c r="H85" s="43"/>
      <c r="I85" s="42"/>
      <c r="J85" s="30"/>
      <c r="M85" s="2"/>
      <c r="N85" s="2"/>
      <c r="O85" s="2"/>
      <c r="P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2:38" x14ac:dyDescent="0.25">
      <c r="B86" s="30"/>
      <c r="C86" s="30"/>
      <c r="D86" s="30"/>
      <c r="E86" s="30"/>
      <c r="F86" s="30"/>
      <c r="G86" s="30"/>
      <c r="H86" s="30"/>
      <c r="I86" s="30"/>
      <c r="J86" s="30"/>
      <c r="M86" s="2"/>
      <c r="N86" s="2"/>
      <c r="O86" s="2"/>
      <c r="P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2:38" x14ac:dyDescent="0.25">
      <c r="C87" s="2"/>
      <c r="D87" s="2"/>
      <c r="E87" s="2"/>
      <c r="F87" s="2"/>
      <c r="G87" s="2"/>
      <c r="H87" s="2"/>
      <c r="I87" s="2"/>
      <c r="J87" s="2"/>
      <c r="M87" s="2"/>
      <c r="N87" s="2"/>
      <c r="O87" s="2"/>
      <c r="P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2:38" x14ac:dyDescent="0.25">
      <c r="C88" s="2"/>
      <c r="D88" s="2"/>
      <c r="E88" s="2"/>
      <c r="F88" s="2"/>
      <c r="G88" s="2"/>
      <c r="H88" s="2"/>
      <c r="I88" s="2"/>
      <c r="J88" s="2"/>
      <c r="M88" s="2"/>
      <c r="N88" s="2"/>
      <c r="O88" s="2"/>
      <c r="P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2:38" x14ac:dyDescent="0.25">
      <c r="C89" s="2"/>
      <c r="D89" s="2"/>
      <c r="E89" s="2"/>
      <c r="F89" s="2"/>
      <c r="G89" s="2"/>
      <c r="H89" s="2"/>
      <c r="I89" s="2"/>
      <c r="J89" s="2"/>
      <c r="M89" s="2"/>
      <c r="N89" s="2"/>
      <c r="O89" s="2"/>
      <c r="P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2:38" hidden="1" x14ac:dyDescent="0.25">
      <c r="C90" s="2"/>
      <c r="D90" s="2"/>
      <c r="E90" s="2"/>
      <c r="F90" s="2"/>
      <c r="G90" s="2"/>
      <c r="H90" s="2"/>
      <c r="I90" s="2"/>
      <c r="J90" s="2"/>
      <c r="M90" s="2"/>
      <c r="N90" s="2"/>
      <c r="O90" s="2"/>
      <c r="P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2:38" hidden="1" x14ac:dyDescent="0.25">
      <c r="C91" s="2"/>
      <c r="D91" s="2"/>
      <c r="E91" s="2"/>
      <c r="F91" s="2"/>
      <c r="G91" s="2"/>
      <c r="H91" s="2"/>
      <c r="I91" s="2"/>
      <c r="J91" s="2"/>
      <c r="M91" s="2"/>
      <c r="N91" s="2"/>
      <c r="O91" s="2"/>
      <c r="P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2:38" hidden="1" x14ac:dyDescent="0.25">
      <c r="C92" s="2"/>
      <c r="D92" s="2"/>
      <c r="E92" s="2"/>
      <c r="F92" s="2"/>
      <c r="G92" s="2"/>
      <c r="H92" s="2"/>
      <c r="I92" s="2"/>
      <c r="J92" s="2"/>
      <c r="M92" s="2"/>
      <c r="N92" s="2"/>
      <c r="O92" s="2"/>
      <c r="P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2:38" hidden="1" x14ac:dyDescent="0.25">
      <c r="C93" s="2"/>
      <c r="D93" s="2"/>
      <c r="E93" s="2"/>
      <c r="F93" s="2"/>
      <c r="G93" s="2"/>
      <c r="H93" s="2"/>
      <c r="I93" s="2"/>
      <c r="J93" s="2"/>
      <c r="M93" s="2"/>
      <c r="N93" s="2"/>
      <c r="O93" s="2"/>
      <c r="P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2:38" hidden="1" x14ac:dyDescent="0.25">
      <c r="C94" s="2"/>
      <c r="D94" s="2"/>
      <c r="E94" s="2"/>
      <c r="F94" s="2"/>
      <c r="G94" s="2"/>
      <c r="H94" s="2"/>
      <c r="I94" s="2"/>
      <c r="J94" s="2"/>
      <c r="M94" s="2"/>
      <c r="N94" s="2"/>
      <c r="O94" s="2"/>
      <c r="P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2:38" hidden="1" x14ac:dyDescent="0.25">
      <c r="C95" s="2"/>
      <c r="D95" s="2"/>
      <c r="E95" s="2"/>
      <c r="F95" s="2"/>
      <c r="G95" s="2"/>
      <c r="H95" s="2"/>
      <c r="I95" s="2"/>
      <c r="J95" s="2"/>
      <c r="M95" s="2"/>
      <c r="N95" s="2"/>
      <c r="O95" s="2"/>
      <c r="P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2:38" hidden="1" x14ac:dyDescent="0.25">
      <c r="C96" s="2"/>
      <c r="D96" s="2"/>
      <c r="E96" s="2"/>
      <c r="F96" s="2"/>
      <c r="G96" s="2"/>
      <c r="H96" s="2"/>
      <c r="I96" s="2"/>
      <c r="J96" s="2"/>
      <c r="M96" s="2"/>
      <c r="N96" s="2"/>
      <c r="O96" s="2"/>
      <c r="P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3:38" hidden="1" x14ac:dyDescent="0.25">
      <c r="C97" s="2"/>
      <c r="D97" s="2"/>
      <c r="E97" s="2"/>
      <c r="F97" s="2"/>
      <c r="G97" s="2"/>
      <c r="H97" s="2"/>
      <c r="I97" s="2"/>
      <c r="J97" s="2"/>
      <c r="M97" s="2"/>
      <c r="N97" s="2"/>
      <c r="O97" s="2"/>
      <c r="P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3:38" hidden="1" x14ac:dyDescent="0.25">
      <c r="C98" s="2"/>
      <c r="D98" s="2"/>
      <c r="E98" s="2"/>
      <c r="F98" s="2"/>
      <c r="G98" s="2"/>
      <c r="H98" s="2"/>
      <c r="I98" s="2"/>
      <c r="J98" s="2"/>
      <c r="M98" s="2"/>
      <c r="N98" s="2"/>
      <c r="O98" s="2"/>
      <c r="P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3:38" hidden="1" x14ac:dyDescent="0.25">
      <c r="C99" s="2"/>
      <c r="D99" s="2"/>
      <c r="E99" s="2"/>
      <c r="F99" s="2"/>
      <c r="G99" s="2"/>
      <c r="H99" s="2"/>
      <c r="I99" s="2"/>
      <c r="J99" s="2"/>
      <c r="M99" s="2"/>
      <c r="N99" s="2"/>
      <c r="O99" s="2"/>
      <c r="P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3:38" hidden="1" x14ac:dyDescent="0.25">
      <c r="C100" s="2"/>
      <c r="D100" s="2"/>
      <c r="E100" s="2"/>
      <c r="F100" s="2"/>
      <c r="G100" s="2"/>
      <c r="H100" s="2"/>
      <c r="I100" s="2"/>
      <c r="J100" s="2"/>
      <c r="M100" s="2"/>
      <c r="N100" s="2"/>
      <c r="O100" s="2"/>
      <c r="P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3:38" hidden="1" x14ac:dyDescent="0.25">
      <c r="C101" s="2"/>
      <c r="D101" s="2"/>
      <c r="E101" s="2"/>
      <c r="F101" s="2"/>
      <c r="G101" s="2"/>
      <c r="H101" s="2"/>
      <c r="I101" s="2"/>
      <c r="J101" s="2"/>
      <c r="M101" s="2"/>
      <c r="N101" s="2"/>
      <c r="O101" s="2"/>
      <c r="P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3:38" hidden="1" x14ac:dyDescent="0.25">
      <c r="C102" s="2"/>
      <c r="D102" s="2"/>
      <c r="E102" s="2"/>
      <c r="F102" s="2"/>
      <c r="G102" s="2"/>
      <c r="H102" s="2"/>
      <c r="I102" s="2"/>
      <c r="J102" s="2"/>
      <c r="M102" s="2"/>
      <c r="N102" s="2"/>
      <c r="O102" s="2"/>
      <c r="P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3:38" hidden="1" x14ac:dyDescent="0.25">
      <c r="M103" s="2"/>
      <c r="N103" s="2"/>
      <c r="O103" s="2"/>
      <c r="P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3:38" hidden="1" x14ac:dyDescent="0.25">
      <c r="M104" s="2"/>
      <c r="N104" s="2"/>
      <c r="O104" s="2"/>
      <c r="P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3:38" hidden="1" x14ac:dyDescent="0.25">
      <c r="P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3:38" hidden="1" x14ac:dyDescent="0.25">
      <c r="P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3:38" hidden="1" x14ac:dyDescent="0.25"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3:38" hidden="1" x14ac:dyDescent="0.25"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3:38" hidden="1" x14ac:dyDescent="0.25"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3:38" hidden="1" x14ac:dyDescent="0.25"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3:38" hidden="1" x14ac:dyDescent="0.25"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3:38" hidden="1" x14ac:dyDescent="0.25"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20:38" hidden="1" x14ac:dyDescent="0.25"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20:38" hidden="1" x14ac:dyDescent="0.25"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0:38" hidden="1" x14ac:dyDescent="0.25"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0:38" hidden="1" x14ac:dyDescent="0.25"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0:38" hidden="1" x14ac:dyDescent="0.25"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0" workbookViewId="0">
      <selection activeCell="I14" sqref="I14"/>
    </sheetView>
  </sheetViews>
  <sheetFormatPr baseColWidth="10" defaultColWidth="9.140625" defaultRowHeight="15" x14ac:dyDescent="0.25"/>
  <cols>
    <col min="1" max="1" width="64" customWidth="1"/>
    <col min="2" max="2" width="18.42578125" customWidth="1"/>
    <col min="3" max="3" width="20.85546875" customWidth="1"/>
    <col min="4" max="4" width="18.28515625" customWidth="1"/>
    <col min="5" max="5" width="35.28515625" customWidth="1"/>
    <col min="6" max="6" width="31.5703125" customWidth="1"/>
    <col min="8" max="8" width="27.42578125" customWidth="1"/>
    <col min="9" max="9" width="11.85546875" bestFit="1" customWidth="1"/>
  </cols>
  <sheetData>
    <row r="1" spans="1:9" x14ac:dyDescent="0.25">
      <c r="B1" t="s">
        <v>174</v>
      </c>
      <c r="C1" t="s">
        <v>176</v>
      </c>
      <c r="D1" t="s">
        <v>147</v>
      </c>
      <c r="E1" t="s">
        <v>175</v>
      </c>
      <c r="F1" t="s">
        <v>177</v>
      </c>
    </row>
    <row r="2" spans="1:9" x14ac:dyDescent="0.25">
      <c r="A2" t="s">
        <v>0</v>
      </c>
    </row>
    <row r="3" spans="1:9" x14ac:dyDescent="0.25">
      <c r="A3" t="s">
        <v>1</v>
      </c>
    </row>
    <row r="4" spans="1:9" x14ac:dyDescent="0.25">
      <c r="A4" t="s">
        <v>148</v>
      </c>
      <c r="B4">
        <f>'Base de datos'!G9</f>
        <v>0</v>
      </c>
      <c r="C4">
        <f>'Base de datos'!I9</f>
        <v>0</v>
      </c>
      <c r="D4">
        <f>'Toma de datos y resultado'!D9</f>
        <v>0</v>
      </c>
      <c r="E4">
        <f>B4*D4</f>
        <v>0</v>
      </c>
      <c r="F4">
        <f>C4*D4</f>
        <v>0</v>
      </c>
      <c r="H4" t="s">
        <v>178</v>
      </c>
      <c r="I4">
        <f>SUM(E4:E49)</f>
        <v>0</v>
      </c>
    </row>
    <row r="5" spans="1:9" x14ac:dyDescent="0.25">
      <c r="A5" t="s">
        <v>149</v>
      </c>
      <c r="B5">
        <f>'Base de datos'!G11</f>
        <v>0</v>
      </c>
      <c r="C5">
        <f>'Base de datos'!I11</f>
        <v>0</v>
      </c>
      <c r="D5">
        <f>'Toma de datos y resultado'!D11</f>
        <v>0</v>
      </c>
      <c r="E5">
        <f t="shared" ref="E5:E49" si="0">B5*D5</f>
        <v>0</v>
      </c>
      <c r="F5">
        <f t="shared" ref="F5:F49" si="1">C5*D5</f>
        <v>0</v>
      </c>
      <c r="H5" t="s">
        <v>179</v>
      </c>
      <c r="I5">
        <f>SUM(F4:F49)</f>
        <v>0</v>
      </c>
    </row>
    <row r="6" spans="1:9" x14ac:dyDescent="0.25">
      <c r="A6" t="s">
        <v>150</v>
      </c>
      <c r="B6">
        <f>'Base de datos'!G13</f>
        <v>0</v>
      </c>
      <c r="C6">
        <f>'Base de datos'!I13</f>
        <v>0</v>
      </c>
      <c r="D6">
        <f>'Toma de datos y resultado'!D13</f>
        <v>0</v>
      </c>
      <c r="E6">
        <f t="shared" si="0"/>
        <v>0</v>
      </c>
      <c r="F6">
        <f t="shared" si="1"/>
        <v>0</v>
      </c>
    </row>
    <row r="7" spans="1:9" x14ac:dyDescent="0.25">
      <c r="A7" t="s">
        <v>2</v>
      </c>
      <c r="B7">
        <f>'Base de datos'!G15</f>
        <v>0</v>
      </c>
      <c r="C7">
        <f>'Base de datos'!I15</f>
        <v>0</v>
      </c>
      <c r="D7">
        <f>'Toma de datos y resultado'!D15</f>
        <v>0</v>
      </c>
      <c r="E7">
        <f t="shared" si="0"/>
        <v>0</v>
      </c>
      <c r="F7">
        <f t="shared" si="1"/>
        <v>0</v>
      </c>
      <c r="H7" t="s">
        <v>184</v>
      </c>
      <c r="I7" s="39" t="e">
        <f>(I5-I4)/I5</f>
        <v>#DIV/0!</v>
      </c>
    </row>
    <row r="8" spans="1:9" x14ac:dyDescent="0.25">
      <c r="A8" t="s">
        <v>151</v>
      </c>
      <c r="B8">
        <f>'Base de datos'!G17</f>
        <v>0</v>
      </c>
      <c r="C8">
        <f>'Base de datos'!I17</f>
        <v>0</v>
      </c>
      <c r="D8">
        <f>'Toma de datos y resultado'!D17</f>
        <v>0</v>
      </c>
      <c r="E8">
        <f t="shared" si="0"/>
        <v>0</v>
      </c>
      <c r="F8">
        <f t="shared" si="1"/>
        <v>0</v>
      </c>
    </row>
    <row r="9" spans="1:9" x14ac:dyDescent="0.25">
      <c r="A9" t="s">
        <v>152</v>
      </c>
      <c r="B9">
        <f>'Base de datos'!G19</f>
        <v>0</v>
      </c>
      <c r="C9">
        <f>'Base de datos'!I19</f>
        <v>0</v>
      </c>
      <c r="D9">
        <f>'Toma de datos y resultado'!D19</f>
        <v>0</v>
      </c>
      <c r="E9">
        <f t="shared" si="0"/>
        <v>0</v>
      </c>
      <c r="F9">
        <f t="shared" si="1"/>
        <v>0</v>
      </c>
    </row>
    <row r="10" spans="1:9" x14ac:dyDescent="0.25">
      <c r="A10" t="s">
        <v>153</v>
      </c>
      <c r="B10">
        <f>'Base de datos'!G21</f>
        <v>0</v>
      </c>
      <c r="C10">
        <f>'Base de datos'!I21</f>
        <v>0</v>
      </c>
      <c r="D10">
        <f>'Toma de datos y resultado'!D21</f>
        <v>0</v>
      </c>
      <c r="E10">
        <f t="shared" si="0"/>
        <v>0</v>
      </c>
      <c r="F10">
        <f t="shared" si="1"/>
        <v>0</v>
      </c>
    </row>
    <row r="12" spans="1:9" x14ac:dyDescent="0.25">
      <c r="A12" t="s">
        <v>3</v>
      </c>
    </row>
    <row r="13" spans="1:9" x14ac:dyDescent="0.25">
      <c r="A13" t="s">
        <v>154</v>
      </c>
      <c r="B13">
        <f>'Base de datos'!G25</f>
        <v>0</v>
      </c>
      <c r="C13">
        <f>'Base de datos'!I25</f>
        <v>0</v>
      </c>
      <c r="D13">
        <f>'Toma de datos y resultado'!D25</f>
        <v>0</v>
      </c>
      <c r="E13">
        <f t="shared" si="0"/>
        <v>0</v>
      </c>
      <c r="F13">
        <f t="shared" si="1"/>
        <v>0</v>
      </c>
    </row>
    <row r="14" spans="1:9" x14ac:dyDescent="0.25">
      <c r="A14" t="s">
        <v>155</v>
      </c>
      <c r="B14">
        <f>'Base de datos'!G27</f>
        <v>0</v>
      </c>
      <c r="C14">
        <f>'Base de datos'!I27</f>
        <v>0</v>
      </c>
      <c r="D14">
        <f>'Toma de datos y resultado'!D27</f>
        <v>0</v>
      </c>
      <c r="E14">
        <f t="shared" si="0"/>
        <v>0</v>
      </c>
      <c r="F14">
        <f t="shared" si="1"/>
        <v>0</v>
      </c>
    </row>
    <row r="15" spans="1:9" x14ac:dyDescent="0.25">
      <c r="A15" t="s">
        <v>4</v>
      </c>
      <c r="B15">
        <f>'Base de datos'!G29</f>
        <v>0</v>
      </c>
      <c r="C15">
        <f>'Base de datos'!I29</f>
        <v>0</v>
      </c>
      <c r="D15">
        <f>'Toma de datos y resultado'!D29</f>
        <v>0</v>
      </c>
      <c r="E15">
        <f t="shared" si="0"/>
        <v>0</v>
      </c>
      <c r="F15">
        <f t="shared" si="1"/>
        <v>0</v>
      </c>
    </row>
    <row r="16" spans="1:9" x14ac:dyDescent="0.25">
      <c r="A16" t="s">
        <v>156</v>
      </c>
      <c r="B16">
        <f>'Base de datos'!G31</f>
        <v>0</v>
      </c>
      <c r="C16">
        <f>'Base de datos'!I31</f>
        <v>0</v>
      </c>
      <c r="D16">
        <f>'Toma de datos y resultado'!D31</f>
        <v>0</v>
      </c>
      <c r="E16">
        <f t="shared" si="0"/>
        <v>0</v>
      </c>
      <c r="F16">
        <f t="shared" si="1"/>
        <v>0</v>
      </c>
    </row>
    <row r="17" spans="1:6" x14ac:dyDescent="0.25">
      <c r="A17" t="s">
        <v>157</v>
      </c>
      <c r="B17">
        <f>'Base de datos'!G33</f>
        <v>0</v>
      </c>
      <c r="C17">
        <f>'Base de datos'!I33</f>
        <v>0</v>
      </c>
      <c r="D17">
        <f>'Toma de datos y resultado'!D33</f>
        <v>0</v>
      </c>
      <c r="E17">
        <f t="shared" si="0"/>
        <v>0</v>
      </c>
      <c r="F17">
        <f t="shared" si="1"/>
        <v>0</v>
      </c>
    </row>
    <row r="18" spans="1:6" x14ac:dyDescent="0.25">
      <c r="A18" t="s">
        <v>5</v>
      </c>
      <c r="B18">
        <f>'Base de datos'!G35</f>
        <v>0</v>
      </c>
      <c r="C18">
        <f>'Base de datos'!I35</f>
        <v>0</v>
      </c>
      <c r="D18">
        <f>'Toma de datos y resultado'!D35</f>
        <v>0</v>
      </c>
      <c r="E18">
        <f t="shared" si="0"/>
        <v>0</v>
      </c>
      <c r="F18">
        <f t="shared" si="1"/>
        <v>0</v>
      </c>
    </row>
    <row r="19" spans="1:6" x14ac:dyDescent="0.25">
      <c r="A19" t="s">
        <v>6</v>
      </c>
      <c r="B19">
        <f>'Base de datos'!G37</f>
        <v>0</v>
      </c>
      <c r="C19">
        <f>'Base de datos'!I37</f>
        <v>0</v>
      </c>
      <c r="D19">
        <f>'Toma de datos y resultado'!D37</f>
        <v>0</v>
      </c>
      <c r="E19">
        <f t="shared" si="0"/>
        <v>0</v>
      </c>
      <c r="F19">
        <f t="shared" si="1"/>
        <v>0</v>
      </c>
    </row>
    <row r="21" spans="1:6" x14ac:dyDescent="0.25">
      <c r="A21" t="s">
        <v>7</v>
      </c>
    </row>
    <row r="22" spans="1:6" x14ac:dyDescent="0.25">
      <c r="A22" t="s">
        <v>8</v>
      </c>
      <c r="B22">
        <f>'Base de datos'!G41</f>
        <v>0</v>
      </c>
      <c r="C22">
        <f>'Base de datos'!I41</f>
        <v>0</v>
      </c>
      <c r="D22">
        <f>'Toma de datos y resultado'!D41</f>
        <v>0</v>
      </c>
      <c r="E22">
        <f t="shared" si="0"/>
        <v>0</v>
      </c>
      <c r="F22">
        <f t="shared" si="1"/>
        <v>0</v>
      </c>
    </row>
    <row r="24" spans="1:6" x14ac:dyDescent="0.25">
      <c r="A24" t="s">
        <v>9</v>
      </c>
    </row>
    <row r="25" spans="1:6" x14ac:dyDescent="0.25">
      <c r="A25" t="s">
        <v>10</v>
      </c>
      <c r="B25">
        <f>'Base de datos'!G45</f>
        <v>0</v>
      </c>
      <c r="C25">
        <f>'Base de datos'!I45</f>
        <v>0</v>
      </c>
      <c r="D25">
        <f>'Toma de datos y resultado'!D45</f>
        <v>0</v>
      </c>
      <c r="E25">
        <f t="shared" si="0"/>
        <v>0</v>
      </c>
      <c r="F25">
        <f t="shared" si="1"/>
        <v>0</v>
      </c>
    </row>
    <row r="26" spans="1:6" x14ac:dyDescent="0.25">
      <c r="A26" t="s">
        <v>11</v>
      </c>
      <c r="B26">
        <f>'Base de datos'!G47</f>
        <v>0</v>
      </c>
      <c r="C26">
        <f>'Base de datos'!I47</f>
        <v>0</v>
      </c>
      <c r="D26">
        <f>'Toma de datos y resultado'!D47</f>
        <v>0</v>
      </c>
      <c r="E26">
        <f t="shared" si="0"/>
        <v>0</v>
      </c>
      <c r="F26">
        <f t="shared" si="1"/>
        <v>0</v>
      </c>
    </row>
    <row r="27" spans="1:6" x14ac:dyDescent="0.25">
      <c r="A27" t="s">
        <v>76</v>
      </c>
      <c r="B27">
        <f>'Base de datos'!G49</f>
        <v>0</v>
      </c>
      <c r="C27">
        <f>'Base de datos'!I49</f>
        <v>0</v>
      </c>
      <c r="D27">
        <f>'Toma de datos y resultado'!D49</f>
        <v>0</v>
      </c>
      <c r="E27">
        <f t="shared" si="0"/>
        <v>0</v>
      </c>
      <c r="F27">
        <f t="shared" si="1"/>
        <v>0</v>
      </c>
    </row>
    <row r="28" spans="1:6" x14ac:dyDescent="0.25">
      <c r="A28" t="s">
        <v>75</v>
      </c>
      <c r="B28">
        <f>'Base de datos'!G51</f>
        <v>0</v>
      </c>
      <c r="C28">
        <f>'Base de datos'!I51</f>
        <v>0</v>
      </c>
      <c r="D28">
        <f>'Toma de datos y resultado'!D51</f>
        <v>0</v>
      </c>
      <c r="E28">
        <f t="shared" si="0"/>
        <v>0</v>
      </c>
      <c r="F28">
        <f t="shared" si="1"/>
        <v>0</v>
      </c>
    </row>
    <row r="29" spans="1:6" x14ac:dyDescent="0.25">
      <c r="A29" t="s">
        <v>12</v>
      </c>
      <c r="B29">
        <f>'Base de datos'!G53</f>
        <v>0</v>
      </c>
      <c r="C29">
        <f>'Base de datos'!I53</f>
        <v>0</v>
      </c>
      <c r="D29">
        <f>'Toma de datos y resultado'!D53</f>
        <v>0</v>
      </c>
      <c r="E29">
        <f t="shared" si="0"/>
        <v>0</v>
      </c>
      <c r="F29">
        <f t="shared" si="1"/>
        <v>0</v>
      </c>
    </row>
    <row r="30" spans="1:6" x14ac:dyDescent="0.25">
      <c r="A30" t="s">
        <v>13</v>
      </c>
      <c r="B30">
        <f>'Base de datos'!G55</f>
        <v>0</v>
      </c>
      <c r="C30">
        <f>'Base de datos'!I55</f>
        <v>0</v>
      </c>
      <c r="D30">
        <f>'Toma de datos y resultado'!D55</f>
        <v>0</v>
      </c>
      <c r="E30">
        <f t="shared" si="0"/>
        <v>0</v>
      </c>
      <c r="F30">
        <f t="shared" si="1"/>
        <v>0</v>
      </c>
    </row>
    <row r="31" spans="1:6" x14ac:dyDescent="0.25">
      <c r="A31" t="s">
        <v>13</v>
      </c>
      <c r="B31">
        <f>'Base de datos'!G57</f>
        <v>0</v>
      </c>
      <c r="C31">
        <f>'Base de datos'!I57</f>
        <v>0</v>
      </c>
      <c r="D31">
        <f>'Toma de datos y resultado'!D57</f>
        <v>0</v>
      </c>
      <c r="E31">
        <f t="shared" si="0"/>
        <v>0</v>
      </c>
      <c r="F31">
        <f t="shared" si="1"/>
        <v>0</v>
      </c>
    </row>
    <row r="33" spans="1:6" x14ac:dyDescent="0.25">
      <c r="A33" t="s">
        <v>14</v>
      </c>
    </row>
    <row r="34" spans="1:6" x14ac:dyDescent="0.25">
      <c r="A34" t="s">
        <v>158</v>
      </c>
      <c r="B34">
        <f>'Base de datos'!G61</f>
        <v>0</v>
      </c>
      <c r="C34">
        <f>'Base de datos'!I61</f>
        <v>0</v>
      </c>
      <c r="D34">
        <f>'Toma de datos y resultado'!D61</f>
        <v>0</v>
      </c>
      <c r="E34">
        <f t="shared" si="0"/>
        <v>0</v>
      </c>
      <c r="F34">
        <f t="shared" si="1"/>
        <v>0</v>
      </c>
    </row>
    <row r="35" spans="1:6" x14ac:dyDescent="0.25">
      <c r="A35" t="s">
        <v>159</v>
      </c>
      <c r="B35">
        <f>'Base de datos'!G63</f>
        <v>0</v>
      </c>
      <c r="C35">
        <f>'Base de datos'!I63</f>
        <v>0</v>
      </c>
      <c r="D35">
        <f>'Toma de datos y resultado'!D63</f>
        <v>0</v>
      </c>
      <c r="E35">
        <f t="shared" si="0"/>
        <v>0</v>
      </c>
      <c r="F35">
        <f t="shared" si="1"/>
        <v>0</v>
      </c>
    </row>
    <row r="36" spans="1:6" x14ac:dyDescent="0.25">
      <c r="A36" t="s">
        <v>160</v>
      </c>
      <c r="B36">
        <f>'Base de datos'!G65</f>
        <v>0</v>
      </c>
      <c r="C36">
        <f>'Base de datos'!I65</f>
        <v>0</v>
      </c>
      <c r="D36">
        <f>'Toma de datos y resultado'!D65</f>
        <v>0</v>
      </c>
      <c r="E36">
        <f t="shared" si="0"/>
        <v>0</v>
      </c>
      <c r="F36">
        <f t="shared" si="1"/>
        <v>0</v>
      </c>
    </row>
    <row r="37" spans="1:6" x14ac:dyDescent="0.25">
      <c r="A37" t="s">
        <v>4</v>
      </c>
      <c r="B37">
        <f>'Base de datos'!G67</f>
        <v>0</v>
      </c>
      <c r="C37">
        <f>'Base de datos'!I67</f>
        <v>0</v>
      </c>
      <c r="D37">
        <f>'Toma de datos y resultado'!D67</f>
        <v>0</v>
      </c>
      <c r="E37">
        <f t="shared" si="0"/>
        <v>0</v>
      </c>
      <c r="F37">
        <f t="shared" si="1"/>
        <v>0</v>
      </c>
    </row>
    <row r="38" spans="1:6" x14ac:dyDescent="0.25">
      <c r="A38" t="s">
        <v>15</v>
      </c>
      <c r="B38">
        <f>'Base de datos'!G69</f>
        <v>0</v>
      </c>
      <c r="C38">
        <f>'Base de datos'!I69</f>
        <v>0</v>
      </c>
      <c r="D38">
        <f>'Toma de datos y resultado'!D69</f>
        <v>0</v>
      </c>
      <c r="E38">
        <f t="shared" si="0"/>
        <v>0</v>
      </c>
      <c r="F38">
        <f t="shared" si="1"/>
        <v>0</v>
      </c>
    </row>
    <row r="39" spans="1:6" x14ac:dyDescent="0.25">
      <c r="A39" t="s">
        <v>16</v>
      </c>
      <c r="B39">
        <f>'Base de datos'!G71</f>
        <v>0</v>
      </c>
      <c r="C39">
        <f>'Base de datos'!I71</f>
        <v>0</v>
      </c>
      <c r="D39">
        <f>'Toma de datos y resultado'!D71</f>
        <v>0</v>
      </c>
      <c r="E39">
        <f t="shared" si="0"/>
        <v>0</v>
      </c>
      <c r="F39">
        <f t="shared" si="1"/>
        <v>0</v>
      </c>
    </row>
    <row r="40" spans="1:6" x14ac:dyDescent="0.25">
      <c r="A40" t="s">
        <v>161</v>
      </c>
      <c r="B40">
        <f>'Base de datos'!G73</f>
        <v>0</v>
      </c>
      <c r="C40">
        <f>'Base de datos'!I73</f>
        <v>0</v>
      </c>
      <c r="D40">
        <f>'Toma de datos y resultado'!D73</f>
        <v>0</v>
      </c>
      <c r="E40">
        <f t="shared" si="0"/>
        <v>0</v>
      </c>
      <c r="F40">
        <f t="shared" si="1"/>
        <v>0</v>
      </c>
    </row>
    <row r="42" spans="1:6" x14ac:dyDescent="0.25">
      <c r="A42" t="s">
        <v>17</v>
      </c>
    </row>
    <row r="43" spans="1:6" x14ac:dyDescent="0.25">
      <c r="A43" t="s">
        <v>18</v>
      </c>
      <c r="B43">
        <f>'Base de datos'!G77</f>
        <v>0</v>
      </c>
      <c r="C43">
        <f>'Base de datos'!I77</f>
        <v>0</v>
      </c>
      <c r="D43">
        <f>'Toma de datos y resultado'!D77</f>
        <v>0</v>
      </c>
      <c r="E43">
        <f t="shared" si="0"/>
        <v>0</v>
      </c>
      <c r="F43">
        <f t="shared" si="1"/>
        <v>0</v>
      </c>
    </row>
    <row r="45" spans="1:6" x14ac:dyDescent="0.25">
      <c r="A45" t="s">
        <v>19</v>
      </c>
    </row>
    <row r="46" spans="1:6" x14ac:dyDescent="0.25">
      <c r="A46" t="s">
        <v>20</v>
      </c>
      <c r="B46">
        <f>'Base de datos'!G81</f>
        <v>0</v>
      </c>
      <c r="C46">
        <f>'Base de datos'!I81</f>
        <v>0</v>
      </c>
      <c r="D46">
        <f>'Toma de datos y resultado'!D81</f>
        <v>0</v>
      </c>
      <c r="E46">
        <f t="shared" si="0"/>
        <v>0</v>
      </c>
      <c r="F46">
        <f t="shared" si="1"/>
        <v>0</v>
      </c>
    </row>
    <row r="48" spans="1:6" x14ac:dyDescent="0.25">
      <c r="A48" t="s">
        <v>21</v>
      </c>
    </row>
    <row r="49" spans="1:6" x14ac:dyDescent="0.25">
      <c r="A49" t="s">
        <v>132</v>
      </c>
      <c r="B49">
        <f>'Base de datos'!G85</f>
        <v>0</v>
      </c>
      <c r="C49">
        <f>'Base de datos'!I85</f>
        <v>0</v>
      </c>
      <c r="D49">
        <f>'Toma de datos y resultado'!D85</f>
        <v>0</v>
      </c>
      <c r="E49">
        <f t="shared" si="0"/>
        <v>0</v>
      </c>
      <c r="F49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"/>
  <sheetViews>
    <sheetView workbookViewId="0">
      <selection activeCell="K20" sqref="K20"/>
    </sheetView>
  </sheetViews>
  <sheetFormatPr baseColWidth="10" defaultColWidth="9.140625" defaultRowHeight="15" x14ac:dyDescent="0.25"/>
  <cols>
    <col min="1" max="1" width="64.140625" customWidth="1"/>
    <col min="5" max="5" width="12.42578125" customWidth="1"/>
    <col min="6" max="6" width="9.140625" customWidth="1"/>
  </cols>
  <sheetData>
    <row r="1" spans="1:25" x14ac:dyDescent="0.2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x14ac:dyDescent="0.25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x14ac:dyDescent="0.25">
      <c r="A3" s="4" t="s">
        <v>2</v>
      </c>
      <c r="B3" s="4">
        <f>'Movimiento de tierras'!F4</f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x14ac:dyDescent="0.25">
      <c r="A4" s="4" t="s">
        <v>35</v>
      </c>
      <c r="B4" s="4">
        <f>'Movimiento de tierras'!F5</f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x14ac:dyDescent="0.25">
      <c r="A6" s="3" t="s">
        <v>3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1:25" x14ac:dyDescent="0.25">
      <c r="A7" s="4" t="s">
        <v>5</v>
      </c>
      <c r="B7" s="4">
        <f>'Movimiento de tierras'!F7</f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</row>
    <row r="8" spans="1:25" x14ac:dyDescent="0.25">
      <c r="A8" s="4" t="s">
        <v>6</v>
      </c>
      <c r="B8" s="4">
        <f>'Movimiento de tierras'!F8</f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x14ac:dyDescent="0.25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</row>
    <row r="10" spans="1:25" x14ac:dyDescent="0.25">
      <c r="A10" s="3" t="s">
        <v>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6"/>
    </row>
    <row r="11" spans="1:25" x14ac:dyDescent="0.25">
      <c r="A11" s="4" t="s">
        <v>8</v>
      </c>
      <c r="B11" s="4">
        <f>'Movimiento de tierras'!C10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1:25" x14ac:dyDescent="0.25">
      <c r="A12" s="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</row>
    <row r="13" spans="1:25" x14ac:dyDescent="0.25">
      <c r="A13" s="3" t="s">
        <v>125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</row>
    <row r="14" spans="1:25" x14ac:dyDescent="0.25">
      <c r="A14" s="22" t="s">
        <v>126</v>
      </c>
      <c r="B14" s="4" t="e">
        <f>('Toma de datos y resultado'!I5-'Toma de datos y resultado'!I7-'Toma de datos y resultado'!I9-'Toma de datos y resultado'!I11)*Anchura!C10</f>
        <v>#N/A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</row>
    <row r="16" spans="1:25" x14ac:dyDescent="0.25">
      <c r="A16" s="3" t="s">
        <v>17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</row>
    <row r="17" spans="1:25" x14ac:dyDescent="0.25">
      <c r="A17" s="4" t="s">
        <v>18</v>
      </c>
      <c r="B17" s="4" t="e">
        <f>'Toma de datos y resultado'!I7*Anchura!C10</f>
        <v>#N/A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</row>
    <row r="18" spans="1:25" x14ac:dyDescent="0.25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</row>
    <row r="19" spans="1:25" x14ac:dyDescent="0.25">
      <c r="A19" s="3" t="s">
        <v>19</v>
      </c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</row>
    <row r="20" spans="1:25" x14ac:dyDescent="0.25">
      <c r="A20" s="4" t="s">
        <v>20</v>
      </c>
      <c r="B20" s="4">
        <f>'Toma de datos y resultado'!I11</f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</row>
    <row r="21" spans="1:25" x14ac:dyDescent="0.25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</row>
    <row r="22" spans="1:25" x14ac:dyDescent="0.25">
      <c r="A22" s="3" t="s">
        <v>21</v>
      </c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x14ac:dyDescent="0.25">
      <c r="A23" s="4" t="s">
        <v>132</v>
      </c>
      <c r="B23" s="4" t="e">
        <f>'Toma de datos y resultado'!I9*Anchura!C10</f>
        <v>#N/A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6"/>
    </row>
    <row r="24" spans="1:2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6"/>
    </row>
    <row r="25" spans="1:2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6"/>
    </row>
    <row r="26" spans="1:2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6"/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</row>
    <row r="29" spans="1:2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</row>
    <row r="31" spans="1:2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</row>
    <row r="34" spans="1:2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</row>
    <row r="35" spans="1:2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</row>
    <row r="39" spans="1:2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</row>
    <row r="40" spans="1:2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</row>
    <row r="47" spans="1:2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</row>
    <row r="48" spans="1:2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</row>
    <row r="49" spans="1:2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</row>
    <row r="50" spans="1:2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</row>
    <row r="51" spans="1:2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</row>
    <row r="52" spans="1:2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</row>
    <row r="53" spans="1:2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</row>
    <row r="54" spans="1:2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</row>
    <row r="55" spans="1:2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</row>
    <row r="56" spans="1:2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</row>
    <row r="57" spans="1:2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</row>
    <row r="58" spans="1:2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</row>
    <row r="59" spans="1:2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</row>
    <row r="60" spans="1:2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C39" sqref="C39"/>
    </sheetView>
  </sheetViews>
  <sheetFormatPr baseColWidth="10" defaultColWidth="9.140625" defaultRowHeight="15" x14ac:dyDescent="0.25"/>
  <cols>
    <col min="1" max="1" width="64" customWidth="1"/>
    <col min="2" max="2" width="18.42578125" customWidth="1"/>
    <col min="3" max="3" width="18.28515625" customWidth="1"/>
    <col min="4" max="4" width="27.28515625" customWidth="1"/>
    <col min="7" max="7" width="27.5703125" customWidth="1"/>
    <col min="8" max="8" width="11.85546875" bestFit="1" customWidth="1"/>
  </cols>
  <sheetData>
    <row r="1" spans="1:8" x14ac:dyDescent="0.25">
      <c r="B1" t="s">
        <v>25</v>
      </c>
      <c r="C1" t="s">
        <v>23</v>
      </c>
      <c r="D1" t="s">
        <v>24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2</v>
      </c>
      <c r="B4">
        <f>'Base de datos'!O9</f>
        <v>2</v>
      </c>
      <c r="C4">
        <f>'Estimación mediciones'!B3</f>
        <v>0</v>
      </c>
      <c r="D4">
        <f t="shared" ref="D4:D24" si="0">B4*C4</f>
        <v>0</v>
      </c>
      <c r="G4" t="s">
        <v>141</v>
      </c>
      <c r="H4" t="e">
        <f>SUM(D4:D24)</f>
        <v>#N/A</v>
      </c>
    </row>
    <row r="5" spans="1:8" x14ac:dyDescent="0.25">
      <c r="A5" t="s">
        <v>36</v>
      </c>
      <c r="B5">
        <f>'Base de datos'!O11</f>
        <v>5</v>
      </c>
      <c r="C5">
        <f>'Estimación mediciones'!B4</f>
        <v>0</v>
      </c>
      <c r="D5">
        <f t="shared" si="0"/>
        <v>0</v>
      </c>
      <c r="G5" t="s">
        <v>142</v>
      </c>
      <c r="H5">
        <v>0.83169999999999999</v>
      </c>
    </row>
    <row r="7" spans="1:8" x14ac:dyDescent="0.25">
      <c r="A7" t="s">
        <v>3</v>
      </c>
      <c r="B7">
        <f>'Base de datos'!O13</f>
        <v>0</v>
      </c>
      <c r="C7">
        <f>'Estimación mediciones'!B6</f>
        <v>0</v>
      </c>
      <c r="D7">
        <f t="shared" si="0"/>
        <v>0</v>
      </c>
      <c r="G7" t="s">
        <v>143</v>
      </c>
      <c r="H7" t="e">
        <f>H4/H5</f>
        <v>#N/A</v>
      </c>
    </row>
    <row r="8" spans="1:8" x14ac:dyDescent="0.25">
      <c r="A8" t="s">
        <v>5</v>
      </c>
      <c r="B8">
        <f>'Base de datos'!O15</f>
        <v>4.62</v>
      </c>
      <c r="C8">
        <f>'Estimación mediciones'!B7</f>
        <v>0</v>
      </c>
      <c r="D8">
        <f t="shared" si="0"/>
        <v>0</v>
      </c>
    </row>
    <row r="9" spans="1:8" x14ac:dyDescent="0.25">
      <c r="A9" t="s">
        <v>6</v>
      </c>
      <c r="B9">
        <f>'Base de datos'!O17</f>
        <v>1.82</v>
      </c>
      <c r="C9">
        <f>'Estimación mediciones'!B8</f>
        <v>0</v>
      </c>
      <c r="D9">
        <f t="shared" si="0"/>
        <v>0</v>
      </c>
    </row>
    <row r="11" spans="1:8" x14ac:dyDescent="0.25">
      <c r="A11" t="s">
        <v>7</v>
      </c>
      <c r="B11">
        <f>'Base de datos'!O19</f>
        <v>0</v>
      </c>
      <c r="C11">
        <f>'Estimación mediciones'!B10</f>
        <v>0</v>
      </c>
      <c r="D11">
        <f t="shared" si="0"/>
        <v>0</v>
      </c>
    </row>
    <row r="12" spans="1:8" x14ac:dyDescent="0.25">
      <c r="A12" t="s">
        <v>8</v>
      </c>
      <c r="B12">
        <f>'Base de datos'!O21</f>
        <v>4.13</v>
      </c>
      <c r="C12">
        <f>'Estimación mediciones'!B11</f>
        <v>0</v>
      </c>
      <c r="D12">
        <f t="shared" si="0"/>
        <v>0</v>
      </c>
    </row>
    <row r="14" spans="1:8" x14ac:dyDescent="0.25">
      <c r="A14" t="s">
        <v>125</v>
      </c>
    </row>
    <row r="15" spans="1:8" x14ac:dyDescent="0.25">
      <c r="A15" t="s">
        <v>126</v>
      </c>
      <c r="B15" t="e">
        <f>'Secciones de firme'!C58</f>
        <v>#N/A</v>
      </c>
      <c r="C15" t="e">
        <f>'Estimación mediciones'!B14</f>
        <v>#N/A</v>
      </c>
      <c r="D15" t="e">
        <f>B15*C15</f>
        <v>#N/A</v>
      </c>
    </row>
    <row r="17" spans="1:4" x14ac:dyDescent="0.25">
      <c r="A17" t="s">
        <v>17</v>
      </c>
    </row>
    <row r="18" spans="1:4" x14ac:dyDescent="0.25">
      <c r="A18" t="s">
        <v>18</v>
      </c>
      <c r="B18">
        <f>'Base de datos'!O51</f>
        <v>1000</v>
      </c>
      <c r="C18" t="e">
        <f>'Estimación mediciones'!B17</f>
        <v>#N/A</v>
      </c>
      <c r="D18" t="e">
        <f t="shared" si="0"/>
        <v>#N/A</v>
      </c>
    </row>
    <row r="20" spans="1:4" x14ac:dyDescent="0.25">
      <c r="A20" t="s">
        <v>19</v>
      </c>
    </row>
    <row r="21" spans="1:4" x14ac:dyDescent="0.25">
      <c r="A21" t="s">
        <v>20</v>
      </c>
      <c r="B21">
        <f>'Base de datos'!O55</f>
        <v>12000</v>
      </c>
      <c r="C21">
        <f>'Estimación mediciones'!B20</f>
        <v>0</v>
      </c>
      <c r="D21">
        <f t="shared" si="0"/>
        <v>0</v>
      </c>
    </row>
    <row r="23" spans="1:4" x14ac:dyDescent="0.25">
      <c r="A23" t="s">
        <v>21</v>
      </c>
    </row>
    <row r="24" spans="1:4" x14ac:dyDescent="0.25">
      <c r="A24" t="s">
        <v>22</v>
      </c>
      <c r="B24">
        <f>'Base de datos'!O59</f>
        <v>500</v>
      </c>
      <c r="C24" t="e">
        <f>'Estimación mediciones'!B23</f>
        <v>#N/A</v>
      </c>
      <c r="D24" t="e">
        <f t="shared" si="0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topLeftCell="A31" workbookViewId="0">
      <selection activeCell="F59" sqref="F59"/>
    </sheetView>
  </sheetViews>
  <sheetFormatPr baseColWidth="10" defaultRowHeight="15" x14ac:dyDescent="0.25"/>
  <cols>
    <col min="3" max="3" width="30" customWidth="1"/>
    <col min="4" max="4" width="22.7109375" customWidth="1"/>
    <col min="5" max="6" width="30.7109375" customWidth="1"/>
    <col min="7" max="10" width="22.85546875" customWidth="1"/>
    <col min="11" max="11" width="22.7109375" customWidth="1"/>
    <col min="12" max="18" width="22.85546875" customWidth="1"/>
  </cols>
  <sheetData>
    <row r="1" spans="2:12" ht="15.75" thickBot="1" x14ac:dyDescent="0.3"/>
    <row r="2" spans="2:12" ht="15.75" thickBot="1" x14ac:dyDescent="0.3">
      <c r="C2" s="16" t="s">
        <v>38</v>
      </c>
      <c r="D2" s="18"/>
      <c r="E2" s="16" t="s">
        <v>39</v>
      </c>
      <c r="F2" s="17"/>
      <c r="G2" s="18" t="s">
        <v>40</v>
      </c>
      <c r="H2" s="17"/>
      <c r="I2" s="18" t="s">
        <v>70</v>
      </c>
      <c r="J2" s="17"/>
      <c r="K2" s="19" t="s">
        <v>124</v>
      </c>
      <c r="L2" s="11"/>
    </row>
    <row r="3" spans="2:12" x14ac:dyDescent="0.25">
      <c r="B3" s="7" t="s">
        <v>41</v>
      </c>
      <c r="C3" s="10" t="s">
        <v>44</v>
      </c>
      <c r="D3" s="11">
        <f>100*'Base de datos'!O27</f>
        <v>470</v>
      </c>
      <c r="E3" s="12" t="s">
        <v>58</v>
      </c>
      <c r="F3" s="13">
        <f>60*'Base de datos'!O27</f>
        <v>282</v>
      </c>
      <c r="G3" s="12"/>
      <c r="H3" s="13"/>
      <c r="I3" s="12"/>
      <c r="J3" s="1"/>
      <c r="K3" s="10"/>
      <c r="L3" s="11"/>
    </row>
    <row r="4" spans="2:12" x14ac:dyDescent="0.25">
      <c r="B4" s="8"/>
      <c r="C4" s="12" t="s">
        <v>45</v>
      </c>
      <c r="D4" s="13">
        <f>30*'Base de datos'!O33+50*'Base de datos'!O27</f>
        <v>480.7</v>
      </c>
      <c r="E4" s="12" t="s">
        <v>59</v>
      </c>
      <c r="F4" s="13">
        <f>25*'Base de datos'!O33</f>
        <v>204.75</v>
      </c>
      <c r="G4" s="12"/>
      <c r="H4" s="13"/>
      <c r="I4" s="12"/>
      <c r="J4" s="1"/>
      <c r="K4" s="12"/>
      <c r="L4" s="13"/>
    </row>
    <row r="5" spans="2:12" x14ac:dyDescent="0.25">
      <c r="B5" s="8"/>
      <c r="C5" s="12" t="s">
        <v>46</v>
      </c>
      <c r="D5" s="13">
        <f>35*'Base de datos'!O29+50*'Base de datos'!O27</f>
        <v>691.4</v>
      </c>
      <c r="E5" s="12" t="s">
        <v>60</v>
      </c>
      <c r="F5" s="13">
        <f>45*'Base de datos'!O29</f>
        <v>586.79999999999995</v>
      </c>
      <c r="G5" s="12"/>
      <c r="H5" s="13"/>
      <c r="I5" s="12"/>
      <c r="J5" s="1"/>
      <c r="K5" s="12"/>
      <c r="L5" s="13"/>
    </row>
    <row r="6" spans="2:12" x14ac:dyDescent="0.25">
      <c r="B6" s="8"/>
      <c r="C6" s="12" t="s">
        <v>47</v>
      </c>
      <c r="D6" s="13">
        <f>60*'Base de datos'!O33</f>
        <v>491.4</v>
      </c>
      <c r="E6" s="12"/>
      <c r="F6" s="13"/>
      <c r="G6" s="12"/>
      <c r="H6" s="13"/>
      <c r="I6" s="12"/>
      <c r="J6" s="1"/>
      <c r="K6" s="12"/>
      <c r="L6" s="13"/>
    </row>
    <row r="7" spans="2:12" x14ac:dyDescent="0.25">
      <c r="B7" s="8"/>
      <c r="C7" s="12" t="s">
        <v>48</v>
      </c>
      <c r="D7" s="13">
        <f>30*'Base de datos'!O33+60*'Base de datos'!O25</f>
        <v>446.09999999999997</v>
      </c>
      <c r="E7" s="12"/>
      <c r="F7" s="13"/>
      <c r="G7" s="12"/>
      <c r="H7" s="13"/>
      <c r="I7" s="12"/>
      <c r="J7" s="1"/>
      <c r="K7" s="12"/>
      <c r="L7" s="13"/>
    </row>
    <row r="8" spans="2:12" ht="15.75" thickBot="1" x14ac:dyDescent="0.3">
      <c r="B8" s="9"/>
      <c r="C8" s="14" t="s">
        <v>49</v>
      </c>
      <c r="D8" s="15">
        <f>35*'Base de datos'!O29+70*'Base de datos'!O25</f>
        <v>690.19999999999993</v>
      </c>
      <c r="E8" s="14"/>
      <c r="F8" s="15"/>
      <c r="G8" s="14"/>
      <c r="H8" s="15"/>
      <c r="I8" s="14"/>
      <c r="J8" s="20"/>
      <c r="K8" s="14"/>
      <c r="L8" s="15"/>
    </row>
    <row r="9" spans="2:12" x14ac:dyDescent="0.25">
      <c r="B9" s="7" t="s">
        <v>42</v>
      </c>
      <c r="C9" s="10" t="s">
        <v>50</v>
      </c>
      <c r="D9" s="11">
        <f>100*'Base de datos'!O29</f>
        <v>1304</v>
      </c>
      <c r="E9" s="10" t="s">
        <v>61</v>
      </c>
      <c r="F9" s="11">
        <f>75*'Base de datos'!O29</f>
        <v>977.99999999999989</v>
      </c>
      <c r="G9" s="10" t="s">
        <v>66</v>
      </c>
      <c r="H9" s="11">
        <f>55*'Base de datos'!O29</f>
        <v>717.19999999999993</v>
      </c>
      <c r="I9" s="10"/>
      <c r="J9" s="11"/>
      <c r="K9" s="10"/>
      <c r="L9" s="11"/>
    </row>
    <row r="10" spans="2:12" x14ac:dyDescent="0.25">
      <c r="B10" s="8"/>
      <c r="C10" s="12" t="s">
        <v>51</v>
      </c>
      <c r="D10" s="13">
        <f>30*'Base de datos'!O35+60*'Base de datos'!O27</f>
        <v>558</v>
      </c>
      <c r="E10" s="12" t="s">
        <v>62</v>
      </c>
      <c r="F10" s="13">
        <f>40*'Base de datos'!O29+50*'Base de datos'!O27</f>
        <v>756.59999999999991</v>
      </c>
      <c r="G10" s="12" t="s">
        <v>67</v>
      </c>
      <c r="H10" s="13">
        <f>25*'Base de datos'!O35</f>
        <v>229.99999999999997</v>
      </c>
      <c r="I10" s="12"/>
      <c r="J10" s="13"/>
      <c r="K10" s="12"/>
      <c r="L10" s="13"/>
    </row>
    <row r="11" spans="2:12" x14ac:dyDescent="0.25">
      <c r="B11" s="8"/>
      <c r="C11" s="12" t="s">
        <v>74</v>
      </c>
      <c r="D11" s="13">
        <f>40*'Base de datos'!O31+60*'Base de datos'!O27</f>
        <v>803.59999999999991</v>
      </c>
      <c r="E11" s="12" t="s">
        <v>63</v>
      </c>
      <c r="F11" s="13">
        <f>25*'Base de datos'!O35+25*'Base de datos'!O33</f>
        <v>434.75</v>
      </c>
      <c r="G11" s="12" t="s">
        <v>68</v>
      </c>
      <c r="H11" s="13">
        <f>35*'Base de datos'!O31</f>
        <v>456.4</v>
      </c>
      <c r="I11" s="12"/>
      <c r="J11" s="13"/>
      <c r="K11" s="12"/>
      <c r="L11" s="13"/>
    </row>
    <row r="12" spans="2:12" x14ac:dyDescent="0.25">
      <c r="B12" s="8"/>
      <c r="C12" s="12" t="s">
        <v>52</v>
      </c>
      <c r="D12" s="13">
        <f>30*'Base de datos'!O35+50*'Base de datos'!O33</f>
        <v>685.5</v>
      </c>
      <c r="E12" s="12" t="s">
        <v>73</v>
      </c>
      <c r="F12" s="13">
        <f>25*'Base de datos'!O31+25*'Base de datos'!O33</f>
        <v>530.75</v>
      </c>
      <c r="G12" s="12"/>
      <c r="H12" s="13"/>
      <c r="I12" s="12"/>
      <c r="J12" s="13"/>
      <c r="K12" s="12"/>
      <c r="L12" s="13"/>
    </row>
    <row r="13" spans="2:12" x14ac:dyDescent="0.25">
      <c r="B13" s="8"/>
      <c r="C13" s="12" t="s">
        <v>53</v>
      </c>
      <c r="D13" s="13">
        <f>30*'Base de datos'!O35+70*'Base de datos'!O25</f>
        <v>509.79999999999995</v>
      </c>
      <c r="E13" s="12"/>
      <c r="F13" s="13"/>
      <c r="G13" s="12"/>
      <c r="H13" s="13"/>
      <c r="I13" s="12"/>
      <c r="J13" s="13"/>
      <c r="K13" s="12"/>
      <c r="L13" s="13"/>
    </row>
    <row r="14" spans="2:12" ht="15.75" thickBot="1" x14ac:dyDescent="0.3">
      <c r="B14" s="9"/>
      <c r="C14" s="14" t="s">
        <v>54</v>
      </c>
      <c r="D14" s="15">
        <f>40*'Base de datos'!O31+80*'Base de datos'!O25</f>
        <v>788.8</v>
      </c>
      <c r="E14" s="14"/>
      <c r="F14" s="15"/>
      <c r="G14" s="14"/>
      <c r="H14" s="15"/>
      <c r="I14" s="14"/>
      <c r="J14" s="15"/>
      <c r="K14" s="14"/>
      <c r="L14" s="15"/>
    </row>
    <row r="15" spans="2:12" x14ac:dyDescent="0.25">
      <c r="B15" s="7" t="s">
        <v>43</v>
      </c>
      <c r="C15" s="10" t="s">
        <v>55</v>
      </c>
      <c r="D15" s="11">
        <f>30*'Base de datos'!O37+50*'Base de datos'!O33</f>
        <v>728.09999999999991</v>
      </c>
      <c r="E15" s="10" t="s">
        <v>64</v>
      </c>
      <c r="F15" s="11">
        <f>30*'Base de datos'!O37+30*'Base de datos'!O29</f>
        <v>709.8</v>
      </c>
      <c r="G15" s="10" t="s">
        <v>69</v>
      </c>
      <c r="H15" s="11">
        <f>30*'Base de datos'!O37</f>
        <v>318.59999999999997</v>
      </c>
      <c r="I15" s="10" t="s">
        <v>69</v>
      </c>
      <c r="J15" s="11">
        <f>30*'Base de datos'!O37</f>
        <v>318.59999999999997</v>
      </c>
      <c r="K15" s="10" t="s">
        <v>71</v>
      </c>
      <c r="L15" s="11">
        <f>25*'Base de datos'!O37</f>
        <v>265.5</v>
      </c>
    </row>
    <row r="16" spans="2:12" x14ac:dyDescent="0.25">
      <c r="B16" s="8"/>
      <c r="C16" s="12" t="s">
        <v>56</v>
      </c>
      <c r="D16" s="13">
        <f>30*'Base de datos'!O35+50*'Base de datos'!O29</f>
        <v>928</v>
      </c>
      <c r="E16" s="12" t="s">
        <v>65</v>
      </c>
      <c r="F16" s="13">
        <f>30*'Base de datos'!O37+50*'Base de datos'!O27</f>
        <v>553.59999999999991</v>
      </c>
      <c r="G16" s="12"/>
      <c r="H16" s="13"/>
      <c r="I16" s="12"/>
      <c r="J16" s="13"/>
      <c r="K16" s="12"/>
      <c r="L16" s="13"/>
    </row>
    <row r="17" spans="2:18" ht="15.75" thickBot="1" x14ac:dyDescent="0.3">
      <c r="B17" s="9"/>
      <c r="C17" s="14" t="s">
        <v>57</v>
      </c>
      <c r="D17" s="15">
        <f>30*'Base de datos'!O37+75*'Base de datos'!O27</f>
        <v>671.09999999999991</v>
      </c>
      <c r="E17" s="14"/>
      <c r="F17" s="15"/>
      <c r="G17" s="14"/>
      <c r="H17" s="15"/>
      <c r="I17" s="14"/>
      <c r="J17" s="15"/>
      <c r="K17" s="14"/>
      <c r="L17" s="15"/>
    </row>
    <row r="20" spans="2:18" ht="15.75" thickBot="1" x14ac:dyDescent="0.3"/>
    <row r="21" spans="2:18" ht="15.75" thickBot="1" x14ac:dyDescent="0.3">
      <c r="C21" s="16" t="s">
        <v>77</v>
      </c>
      <c r="D21" s="17"/>
      <c r="E21" s="16" t="s">
        <v>78</v>
      </c>
      <c r="F21" s="17"/>
      <c r="G21" s="16" t="s">
        <v>79</v>
      </c>
      <c r="H21" s="17"/>
      <c r="I21" s="16" t="s">
        <v>80</v>
      </c>
      <c r="J21" s="17"/>
      <c r="K21" s="16" t="s">
        <v>81</v>
      </c>
      <c r="L21" s="17"/>
      <c r="M21" s="16" t="s">
        <v>82</v>
      </c>
      <c r="N21" s="17"/>
      <c r="O21" s="16" t="s">
        <v>83</v>
      </c>
      <c r="P21" s="17"/>
      <c r="Q21" s="16" t="s">
        <v>84</v>
      </c>
      <c r="R21" s="17"/>
    </row>
    <row r="22" spans="2:18" x14ac:dyDescent="0.25">
      <c r="B22" s="7" t="s">
        <v>41</v>
      </c>
      <c r="C22" s="10"/>
      <c r="D22" s="11"/>
      <c r="E22" s="10"/>
      <c r="F22" s="11"/>
      <c r="G22" s="10"/>
      <c r="H22" s="11"/>
      <c r="I22" s="10" t="s">
        <v>94</v>
      </c>
      <c r="J22" s="11">
        <f>28*'Base de datos'!O41+40*'Base de datos'!O43</f>
        <v>2652.4</v>
      </c>
      <c r="K22" s="10" t="s">
        <v>100</v>
      </c>
      <c r="L22" s="11">
        <f>20*'Base de datos'!O41+40*'Base de datos'!O43</f>
        <v>2172.4</v>
      </c>
      <c r="M22" s="10" t="s">
        <v>106</v>
      </c>
      <c r="N22" s="11">
        <f>18*'Base de datos'!O41+40*'Base de datos'!O43</f>
        <v>2052.4</v>
      </c>
      <c r="O22" s="10" t="s">
        <v>111</v>
      </c>
      <c r="P22" s="11">
        <f>10*'Base de datos'!O41+40*'Base de datos'!O43</f>
        <v>1572.4</v>
      </c>
      <c r="Q22" s="10" t="s">
        <v>117</v>
      </c>
      <c r="R22" s="11">
        <f>5*'Base de datos'!O41+35*'Base de datos'!O43</f>
        <v>1150.8499999999999</v>
      </c>
    </row>
    <row r="23" spans="2:18" ht="15.75" thickBot="1" x14ac:dyDescent="0.3">
      <c r="B23" s="9"/>
      <c r="C23" s="14"/>
      <c r="D23" s="15"/>
      <c r="E23" s="14"/>
      <c r="F23" s="15"/>
      <c r="G23" s="14"/>
      <c r="H23" s="15"/>
      <c r="I23" s="14" t="s">
        <v>95</v>
      </c>
      <c r="J23" s="15">
        <f>18*'Base de datos'!O41+30*'Base de datos'!O47</f>
        <v>2459.1</v>
      </c>
      <c r="K23" s="14" t="s">
        <v>101</v>
      </c>
      <c r="L23" s="15">
        <f>15*'Base de datos'!O41+30*'Base de datos'!O47</f>
        <v>2279.1</v>
      </c>
      <c r="M23" s="14" t="s">
        <v>103</v>
      </c>
      <c r="N23" s="15">
        <f>12*'Base de datos'!O41+30*'Base de datos'!O47</f>
        <v>2099.1</v>
      </c>
      <c r="O23" s="14" t="s">
        <v>112</v>
      </c>
      <c r="P23" s="15">
        <f>8*'Base de datos'!O41+30*'Base de datos'!O47</f>
        <v>1859.1</v>
      </c>
      <c r="Q23" s="14" t="s">
        <v>118</v>
      </c>
      <c r="R23" s="15">
        <f>5*'Base de datos'!O41+25*'Base de datos'!O47</f>
        <v>1449.25</v>
      </c>
    </row>
    <row r="24" spans="2:18" x14ac:dyDescent="0.25">
      <c r="B24" s="7" t="s">
        <v>42</v>
      </c>
      <c r="C24" s="10"/>
      <c r="D24" s="11"/>
      <c r="E24" s="10"/>
      <c r="F24" s="11"/>
      <c r="G24" s="10" t="s">
        <v>88</v>
      </c>
      <c r="H24" s="11">
        <f>30*'Base de datos'!O41+25*'Base de datos'!O43</f>
        <v>2407.75</v>
      </c>
      <c r="I24" s="10" t="s">
        <v>92</v>
      </c>
      <c r="J24" s="11">
        <f>25*'Base de datos'!O41+25*'Base de datos'!O43</f>
        <v>2107.75</v>
      </c>
      <c r="K24" s="10" t="s">
        <v>102</v>
      </c>
      <c r="L24" s="11">
        <f>16*'Base de datos'!O41+40*'Base de datos'!O43</f>
        <v>1932.4</v>
      </c>
      <c r="M24" s="10" t="s">
        <v>107</v>
      </c>
      <c r="N24" s="11">
        <f>15*'Base de datos'!O41+35*'Base de datos'!O43</f>
        <v>1750.85</v>
      </c>
      <c r="O24" s="10" t="s">
        <v>113</v>
      </c>
      <c r="P24" s="11">
        <f>10*'Base de datos'!O41+30*'Base de datos'!O43</f>
        <v>1329.3</v>
      </c>
      <c r="Q24" s="10" t="s">
        <v>119</v>
      </c>
      <c r="R24" s="11">
        <f>5*'Base de datos'!O41+25*'Base de datos'!O43</f>
        <v>907.75</v>
      </c>
    </row>
    <row r="25" spans="2:18" x14ac:dyDescent="0.25">
      <c r="B25" s="8"/>
      <c r="C25" s="12"/>
      <c r="D25" s="13"/>
      <c r="E25" s="12"/>
      <c r="F25" s="13"/>
      <c r="G25" s="12" t="s">
        <v>89</v>
      </c>
      <c r="H25" s="13">
        <f>20*'Base de datos'!O41+25*'Base de datos'!O47</f>
        <v>2349.25</v>
      </c>
      <c r="I25" s="12" t="s">
        <v>96</v>
      </c>
      <c r="J25" s="13">
        <f>18*'Base de datos'!O41+22*'Base de datos'!O47</f>
        <v>2091.34</v>
      </c>
      <c r="K25" s="12" t="s">
        <v>103</v>
      </c>
      <c r="L25" s="13">
        <f>12*'Base de datos'!O41+30*'Base de datos'!O47</f>
        <v>2099.1</v>
      </c>
      <c r="M25" s="12" t="s">
        <v>108</v>
      </c>
      <c r="N25" s="13">
        <f>10*'Base de datos'!O41+30*'Base de datos'!O47</f>
        <v>1979.1</v>
      </c>
      <c r="O25" s="12" t="s">
        <v>114</v>
      </c>
      <c r="P25" s="13">
        <f>8*'Base de datos'!O41+25*'Base de datos'!O47</f>
        <v>1629.25</v>
      </c>
      <c r="Q25" s="12" t="s">
        <v>120</v>
      </c>
      <c r="R25" s="13">
        <f>5*'Base de datos'!O41+22*'Base de datos'!O47</f>
        <v>1311.34</v>
      </c>
    </row>
    <row r="26" spans="2:18" ht="15.75" thickBot="1" x14ac:dyDescent="0.3">
      <c r="B26" s="9"/>
      <c r="C26" s="14"/>
      <c r="D26" s="15"/>
      <c r="E26" s="14"/>
      <c r="F26" s="15"/>
      <c r="G26" s="14" t="s">
        <v>91</v>
      </c>
      <c r="H26" s="15">
        <f>15*'Base de datos'!O41+22*'Base de datos'!O45+22*'Base de datos'!O47</f>
        <v>3078</v>
      </c>
      <c r="I26" s="14" t="s">
        <v>97</v>
      </c>
      <c r="J26" s="15">
        <f>15*'Base de datos'!O41+20*'Base de datos'!O45+20*'Base de datos'!O47</f>
        <v>2880</v>
      </c>
      <c r="K26" s="14"/>
      <c r="L26" s="15"/>
      <c r="M26" s="14"/>
      <c r="N26" s="15"/>
      <c r="O26" s="14"/>
      <c r="P26" s="15"/>
      <c r="Q26" s="14"/>
      <c r="R26" s="15"/>
    </row>
    <row r="27" spans="2:18" x14ac:dyDescent="0.25">
      <c r="B27" s="7" t="s">
        <v>43</v>
      </c>
      <c r="C27" s="10" t="s">
        <v>85</v>
      </c>
      <c r="D27" s="11">
        <f>35*'Base de datos'!O41+25*'Base de datos'!O43</f>
        <v>2707.75</v>
      </c>
      <c r="E27" s="10" t="s">
        <v>88</v>
      </c>
      <c r="F27" s="11">
        <f>30*'Base de datos'!O41+25*'Base de datos'!O43</f>
        <v>2407.75</v>
      </c>
      <c r="G27" s="10" t="s">
        <v>92</v>
      </c>
      <c r="H27" s="11">
        <f>25*'Base de datos'!O41+25*'Base de datos'!O43</f>
        <v>2107.75</v>
      </c>
      <c r="I27" s="10" t="s">
        <v>98</v>
      </c>
      <c r="J27" s="11">
        <f>20*'Base de datos'!O41+25*'Base de datos'!O43</f>
        <v>1807.75</v>
      </c>
      <c r="K27" s="10" t="s">
        <v>104</v>
      </c>
      <c r="L27" s="11">
        <f>16*'Base de datos'!O41+25*'Base de datos'!O43</f>
        <v>1567.75</v>
      </c>
      <c r="M27" s="10" t="s">
        <v>109</v>
      </c>
      <c r="N27" s="11">
        <f>15*'Base de datos'!O41+20*'Base de datos'!O43</f>
        <v>1386.2</v>
      </c>
      <c r="O27" s="10" t="s">
        <v>115</v>
      </c>
      <c r="P27" s="11">
        <f>10*'Base de datos'!O41+20*'Base de datos'!O43</f>
        <v>1086.2</v>
      </c>
      <c r="Q27" s="10" t="s">
        <v>121</v>
      </c>
      <c r="R27" s="11">
        <f>5*'Base de datos'!O41+20*'Base de datos'!O43</f>
        <v>786.2</v>
      </c>
    </row>
    <row r="28" spans="2:18" x14ac:dyDescent="0.25">
      <c r="B28" s="8"/>
      <c r="C28" s="12" t="s">
        <v>86</v>
      </c>
      <c r="D28" s="13">
        <f>25*'Base de datos'!O41+30*'Base de datos'!O47</f>
        <v>2879.1</v>
      </c>
      <c r="E28" s="12" t="s">
        <v>89</v>
      </c>
      <c r="F28" s="13">
        <f>20*'Base de datos'!O41+25*'Base de datos'!O47</f>
        <v>2349.25</v>
      </c>
      <c r="G28" s="12" t="s">
        <v>93</v>
      </c>
      <c r="H28" s="13">
        <f>20*'Base de datos'!O41+20*'Base de datos'!O47</f>
        <v>2119.4</v>
      </c>
      <c r="I28" s="12" t="s">
        <v>99</v>
      </c>
      <c r="J28" s="13">
        <f>15*'Base de datos'!O41+20*'Base de datos'!O47</f>
        <v>1819.4</v>
      </c>
      <c r="K28" s="12" t="s">
        <v>105</v>
      </c>
      <c r="L28" s="13">
        <f>12*'Base de datos'!O41+22*'Base de datos'!O47</f>
        <v>1731.34</v>
      </c>
      <c r="M28" s="12" t="s">
        <v>110</v>
      </c>
      <c r="N28" s="13">
        <f>10*'Base de datos'!O41+22*'Base de datos'!O47</f>
        <v>1611.34</v>
      </c>
      <c r="O28" s="12" t="s">
        <v>116</v>
      </c>
      <c r="P28" s="13">
        <f>8*'Base de datos'!O41+20*'Base de datos'!O47</f>
        <v>1399.4</v>
      </c>
      <c r="Q28" s="12" t="s">
        <v>122</v>
      </c>
      <c r="R28" s="13">
        <f>5*'Base de datos'!O41+20*'Base de datos'!O47</f>
        <v>1219.4000000000001</v>
      </c>
    </row>
    <row r="29" spans="2:18" ht="15.75" thickBot="1" x14ac:dyDescent="0.3">
      <c r="B29" s="9"/>
      <c r="C29" s="14" t="s">
        <v>87</v>
      </c>
      <c r="D29" s="15">
        <f>20*'Base de datos'!O41+22*'Base de datos'!O45+25*'Base de datos'!O47</f>
        <v>3515.91</v>
      </c>
      <c r="E29" s="14" t="s">
        <v>90</v>
      </c>
      <c r="F29" s="15">
        <f>18*'Base de datos'!O41+22*'Base de datos'!O45+20*'Base de datos'!O47</f>
        <v>3166.06</v>
      </c>
      <c r="G29" s="14"/>
      <c r="H29" s="15"/>
      <c r="I29" s="14"/>
      <c r="J29" s="15"/>
      <c r="K29" s="14"/>
      <c r="L29" s="15"/>
      <c r="M29" s="14"/>
      <c r="N29" s="15"/>
      <c r="O29" s="14"/>
      <c r="P29" s="15"/>
      <c r="Q29" s="14"/>
      <c r="R29" s="15"/>
    </row>
    <row r="32" spans="2:18" ht="15.75" thickBot="1" x14ac:dyDescent="0.3"/>
    <row r="33" spans="2:12" ht="15.75" thickBot="1" x14ac:dyDescent="0.3">
      <c r="C33" s="7" t="s">
        <v>38</v>
      </c>
      <c r="D33" s="7" t="s">
        <v>39</v>
      </c>
      <c r="E33" s="7" t="s">
        <v>40</v>
      </c>
      <c r="F33" s="7" t="s">
        <v>70</v>
      </c>
      <c r="G33" s="7" t="s">
        <v>124</v>
      </c>
      <c r="H33" s="1"/>
      <c r="J33" s="1"/>
      <c r="L33" s="1"/>
    </row>
    <row r="34" spans="2:12" ht="15.75" thickBot="1" x14ac:dyDescent="0.3">
      <c r="B34" s="16" t="s">
        <v>41</v>
      </c>
      <c r="C34" s="7">
        <f>MIN(D3:D8)</f>
        <v>446.09999999999997</v>
      </c>
      <c r="D34" s="7">
        <f>MIN(F3:F5)</f>
        <v>204.75</v>
      </c>
      <c r="E34" s="7">
        <v>0</v>
      </c>
      <c r="F34" s="7">
        <v>0</v>
      </c>
      <c r="G34" s="7">
        <v>0</v>
      </c>
    </row>
    <row r="35" spans="2:12" ht="15.75" thickBot="1" x14ac:dyDescent="0.3">
      <c r="B35" s="16" t="s">
        <v>42</v>
      </c>
      <c r="C35" s="21">
        <f>MIN(D9:D14)</f>
        <v>509.79999999999995</v>
      </c>
      <c r="D35" s="21">
        <f>MIN(F9:F12)</f>
        <v>434.75</v>
      </c>
      <c r="E35" s="21">
        <f>MIN(H9:H11)</f>
        <v>229.99999999999997</v>
      </c>
      <c r="F35" s="21">
        <v>0</v>
      </c>
      <c r="G35" s="21">
        <v>0</v>
      </c>
    </row>
    <row r="36" spans="2:12" ht="15.75" thickBot="1" x14ac:dyDescent="0.3">
      <c r="B36" s="16" t="s">
        <v>43</v>
      </c>
      <c r="C36" s="9">
        <f>MIN(D15:D17)</f>
        <v>671.09999999999991</v>
      </c>
      <c r="D36" s="9">
        <f>MIN(F15:F16)</f>
        <v>553.59999999999991</v>
      </c>
      <c r="E36" s="9">
        <f>H15</f>
        <v>318.59999999999997</v>
      </c>
      <c r="F36" s="9">
        <f>J15</f>
        <v>318.59999999999997</v>
      </c>
      <c r="G36" s="9">
        <f>L15</f>
        <v>265.5</v>
      </c>
    </row>
    <row r="37" spans="2:12" ht="15.75" thickBot="1" x14ac:dyDescent="0.3"/>
    <row r="38" spans="2:12" ht="15.75" thickBot="1" x14ac:dyDescent="0.3">
      <c r="C38" s="21" t="s">
        <v>77</v>
      </c>
      <c r="D38" s="21" t="s">
        <v>78</v>
      </c>
      <c r="E38" s="18" t="s">
        <v>79</v>
      </c>
      <c r="F38" s="21" t="s">
        <v>80</v>
      </c>
      <c r="G38" s="18" t="s">
        <v>81</v>
      </c>
      <c r="H38" s="21" t="s">
        <v>82</v>
      </c>
      <c r="I38" s="21" t="s">
        <v>83</v>
      </c>
      <c r="J38" s="17" t="s">
        <v>84</v>
      </c>
    </row>
    <row r="39" spans="2:12" ht="15.75" thickBot="1" x14ac:dyDescent="0.3">
      <c r="B39" s="21" t="s">
        <v>41</v>
      </c>
      <c r="C39" s="10"/>
      <c r="D39" s="7"/>
      <c r="E39" s="19"/>
      <c r="F39" s="7">
        <f>MIN(J22:J23)</f>
        <v>2459.1</v>
      </c>
      <c r="G39" s="19">
        <f>MIN(L22:L23)</f>
        <v>2172.4</v>
      </c>
      <c r="H39" s="7">
        <f>MIN(N22:N23)</f>
        <v>2052.4</v>
      </c>
      <c r="I39" s="19">
        <f>MIN(P22:P23)</f>
        <v>1572.4</v>
      </c>
      <c r="J39" s="7">
        <f>MIN(R22:R23)</f>
        <v>1150.8499999999999</v>
      </c>
    </row>
    <row r="40" spans="2:12" ht="15.75" thickBot="1" x14ac:dyDescent="0.3">
      <c r="B40" s="21" t="s">
        <v>42</v>
      </c>
      <c r="C40" s="16"/>
      <c r="D40" s="21"/>
      <c r="E40" s="21">
        <f>MIN(H24:H26)</f>
        <v>2349.25</v>
      </c>
      <c r="F40" s="21">
        <f>MIN(J24:J26)</f>
        <v>2091.34</v>
      </c>
      <c r="G40" s="21">
        <f>MIN(L24:L25)</f>
        <v>1932.4</v>
      </c>
      <c r="H40" s="21">
        <f>MIN(N24:N25)</f>
        <v>1750.85</v>
      </c>
      <c r="I40" s="16">
        <f>MIN(P24:P25)</f>
        <v>1329.3</v>
      </c>
      <c r="J40" s="21">
        <f>MIN(R24:R25)</f>
        <v>907.75</v>
      </c>
    </row>
    <row r="41" spans="2:12" ht="15.75" thickBot="1" x14ac:dyDescent="0.3">
      <c r="B41" s="21" t="s">
        <v>43</v>
      </c>
      <c r="C41" s="14">
        <f>MIN(D27:D29)</f>
        <v>2707.75</v>
      </c>
      <c r="D41" s="9">
        <f>MIN(F27:F29)</f>
        <v>2349.25</v>
      </c>
      <c r="E41" s="20">
        <f>MIN(H27:H28)</f>
        <v>2107.75</v>
      </c>
      <c r="F41" s="9">
        <f>MIN(J27:J28)</f>
        <v>1807.75</v>
      </c>
      <c r="G41" s="20">
        <f>MIN(L27:L28)</f>
        <v>1567.75</v>
      </c>
      <c r="H41" s="9">
        <f>MIN(N27:N28)</f>
        <v>1386.2</v>
      </c>
      <c r="I41" s="20">
        <f>MIN(P27:P28)</f>
        <v>1086.2</v>
      </c>
      <c r="J41" s="9">
        <f>MIN(R27:R28)</f>
        <v>786.2</v>
      </c>
    </row>
    <row r="44" spans="2:12" ht="15.75" thickBot="1" x14ac:dyDescent="0.3"/>
    <row r="45" spans="2:12" ht="15.75" thickBot="1" x14ac:dyDescent="0.3">
      <c r="C45" s="7" t="s">
        <v>38</v>
      </c>
      <c r="D45" s="7" t="s">
        <v>39</v>
      </c>
      <c r="E45" s="7" t="s">
        <v>40</v>
      </c>
      <c r="F45" s="7" t="s">
        <v>70</v>
      </c>
      <c r="G45" s="7" t="s">
        <v>124</v>
      </c>
    </row>
    <row r="46" spans="2:12" ht="15.75" thickBot="1" x14ac:dyDescent="0.3">
      <c r="B46" s="7" t="s">
        <v>77</v>
      </c>
      <c r="C46" s="16">
        <f>C41+C36</f>
        <v>3378.85</v>
      </c>
      <c r="D46" s="21">
        <f>C41+D36</f>
        <v>3261.35</v>
      </c>
      <c r="E46" s="18">
        <f>C41+E36</f>
        <v>3026.35</v>
      </c>
      <c r="F46" s="21">
        <f>C41+F36</f>
        <v>3026.35</v>
      </c>
      <c r="G46" s="17">
        <f>C41+G36</f>
        <v>2973.25</v>
      </c>
    </row>
    <row r="47" spans="2:12" ht="15.75" thickBot="1" x14ac:dyDescent="0.3">
      <c r="B47" s="21" t="s">
        <v>78</v>
      </c>
      <c r="C47" s="12">
        <f>D41+C36</f>
        <v>3020.35</v>
      </c>
      <c r="D47" s="8">
        <f>D41+D36</f>
        <v>2902.85</v>
      </c>
      <c r="E47" s="1">
        <f>D41+E36</f>
        <v>2667.85</v>
      </c>
      <c r="F47" s="8">
        <f>D41+F36</f>
        <v>2667.85</v>
      </c>
      <c r="G47" s="13">
        <f>D41+G36</f>
        <v>2614.75</v>
      </c>
    </row>
    <row r="48" spans="2:12" ht="15.75" thickBot="1" x14ac:dyDescent="0.3">
      <c r="B48" s="8" t="s">
        <v>79</v>
      </c>
      <c r="C48" s="16">
        <f>MIN(E40+C35,E41+C36)</f>
        <v>2778.85</v>
      </c>
      <c r="D48" s="21">
        <f>MIN(E40+D35,E41+D36)</f>
        <v>2661.35</v>
      </c>
      <c r="E48" s="18">
        <f>MIN(E40+E35,E41+E36)</f>
        <v>2426.35</v>
      </c>
      <c r="F48" s="21">
        <f>MIN(E40+F35,E41+F36)</f>
        <v>2349.25</v>
      </c>
      <c r="G48" s="17">
        <f>MIN(E40+G35,E41+G36)</f>
        <v>2349.25</v>
      </c>
    </row>
    <row r="49" spans="2:7" ht="15.75" thickBot="1" x14ac:dyDescent="0.3">
      <c r="B49" s="21" t="s">
        <v>80</v>
      </c>
      <c r="C49" s="12">
        <f>MIN(F39+C34,F40+C35,F41+C36)</f>
        <v>2478.85</v>
      </c>
      <c r="D49" s="8">
        <f>MIN(F39+D34,F40+D35,F41+D36)</f>
        <v>2361.35</v>
      </c>
      <c r="E49" s="1">
        <f>MIN(F39+E34,F40+E35,F41+E36)</f>
        <v>2126.35</v>
      </c>
      <c r="F49" s="8">
        <f>MIN(F39+F34,F40+F35,F41+F36)</f>
        <v>2091.34</v>
      </c>
      <c r="G49" s="13">
        <f>MIN(F39+G34,F40+G35,F41+G36)</f>
        <v>2073.25</v>
      </c>
    </row>
    <row r="50" spans="2:7" ht="15.75" thickBot="1" x14ac:dyDescent="0.3">
      <c r="B50" s="21" t="s">
        <v>81</v>
      </c>
      <c r="C50" s="16">
        <f>MIN(G39+C34,G40+C35,G41+C36)</f>
        <v>2238.85</v>
      </c>
      <c r="D50" s="21">
        <f>MIN(G39+D34,G40+D35,G41+D36)</f>
        <v>2121.35</v>
      </c>
      <c r="E50" s="18">
        <f>MIN(G39+E34,G40+E35,G41+E36)</f>
        <v>1886.35</v>
      </c>
      <c r="F50" s="21">
        <f>MIN(G39+F34,G40+F35,G41+F36)</f>
        <v>1886.35</v>
      </c>
      <c r="G50" s="17">
        <f>MIN(G39+G34,G40+G35,G41+G36)</f>
        <v>1833.25</v>
      </c>
    </row>
    <row r="51" spans="2:7" ht="15.75" thickBot="1" x14ac:dyDescent="0.3">
      <c r="B51" s="21" t="s">
        <v>82</v>
      </c>
      <c r="C51" s="12">
        <f>MIN(H39+C34,H40+C35,H41+C36)</f>
        <v>2057.3000000000002</v>
      </c>
      <c r="D51" s="8">
        <f>MIN(H39+D34,H40+D35,H41+D36)</f>
        <v>1939.8</v>
      </c>
      <c r="E51" s="1">
        <f>MIN(H39+E34,H40+E35,H41+E36)</f>
        <v>1704.8</v>
      </c>
      <c r="F51" s="8">
        <f>MIN(H39+F34,H40+F35,H41+F36)</f>
        <v>1704.8</v>
      </c>
      <c r="G51" s="13">
        <f>MIN(H39+G34,H40+G35,H41+G36)</f>
        <v>1651.7</v>
      </c>
    </row>
    <row r="52" spans="2:7" ht="15.75" thickBot="1" x14ac:dyDescent="0.3">
      <c r="B52" s="21" t="s">
        <v>83</v>
      </c>
      <c r="C52" s="16">
        <f>MIN(I39+C34,I40+C35,I41+C36)</f>
        <v>1757.3</v>
      </c>
      <c r="D52" s="21">
        <f>MIN(I39+D34,I40+D35,I41+D36)</f>
        <v>1639.8</v>
      </c>
      <c r="E52" s="18">
        <f>MIN(I39+E34,I40+E35,I41+E36)</f>
        <v>1404.8</v>
      </c>
      <c r="F52" s="21">
        <f>MIN(I39+F34,I40+F35,I41+F36)</f>
        <v>1329.3</v>
      </c>
      <c r="G52" s="17">
        <f>MIN(I39+G34,I40+G35,I41+G36)</f>
        <v>1329.3</v>
      </c>
    </row>
    <row r="53" spans="2:7" ht="15.75" thickBot="1" x14ac:dyDescent="0.3">
      <c r="B53" s="9" t="s">
        <v>84</v>
      </c>
      <c r="C53" s="14">
        <f>MIN(J39+C34,J40+C35,J41+C36)</f>
        <v>1417.55</v>
      </c>
      <c r="D53" s="9">
        <f>MIN(J39+D34,J40+D35,J41+D36)</f>
        <v>1339.8</v>
      </c>
      <c r="E53" s="20">
        <f>MIN(J39+E34,J40+E35,J41+E36)</f>
        <v>1104.8</v>
      </c>
      <c r="F53" s="9">
        <f>MIN(J39+F34,J40+F35,J41+F36)</f>
        <v>907.75</v>
      </c>
      <c r="G53" s="15">
        <f>MIN(J39+G34,J40+G35,J41+G36)</f>
        <v>907.75</v>
      </c>
    </row>
    <row r="57" spans="2:7" ht="15.75" thickBot="1" x14ac:dyDescent="0.3"/>
    <row r="58" spans="2:7" ht="15.75" thickBot="1" x14ac:dyDescent="0.3">
      <c r="B58" s="16" t="s">
        <v>123</v>
      </c>
      <c r="C58" s="21" t="e">
        <f>(INDEX(C46:G53,MATCH('Toma de datos y resultado'!I17,B46:B53,0),MATCH('Toma de datos y resultado'!I19,'Secciones de firme'!C45:G45,0)))/100</f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0"/>
  <sheetViews>
    <sheetView workbookViewId="0">
      <selection activeCell="E16" sqref="E16"/>
    </sheetView>
  </sheetViews>
  <sheetFormatPr baseColWidth="10" defaultRowHeight="15" x14ac:dyDescent="0.25"/>
  <cols>
    <col min="2" max="2" width="22.7109375" customWidth="1"/>
  </cols>
  <sheetData>
    <row r="4" spans="2:7" x14ac:dyDescent="0.25">
      <c r="C4">
        <v>120</v>
      </c>
      <c r="D4">
        <v>100</v>
      </c>
      <c r="E4">
        <v>80</v>
      </c>
      <c r="F4">
        <v>60</v>
      </c>
      <c r="G4">
        <v>40</v>
      </c>
    </row>
    <row r="5" spans="2:7" x14ac:dyDescent="0.25">
      <c r="B5" t="s">
        <v>129</v>
      </c>
      <c r="C5">
        <f>2*(2.5+1)+3.5*'Toma de datos y resultado'!I13</f>
        <v>7</v>
      </c>
      <c r="D5">
        <f>2*(2.5+1)+3.5*'Toma de datos y resultado'!I13</f>
        <v>7</v>
      </c>
      <c r="E5">
        <f>2*(2.5+1)+3.5*'Toma de datos y resultado'!I13</f>
        <v>7</v>
      </c>
    </row>
    <row r="6" spans="2:7" x14ac:dyDescent="0.25">
      <c r="B6" t="s">
        <v>130</v>
      </c>
      <c r="D6">
        <f>2*2.5+3.5*'Toma de datos y resultado'!I13</f>
        <v>5</v>
      </c>
      <c r="E6">
        <f>2*2.5+3.5*'Toma de datos y resultado'!I13</f>
        <v>5</v>
      </c>
    </row>
    <row r="7" spans="2:7" x14ac:dyDescent="0.25">
      <c r="B7" t="s">
        <v>127</v>
      </c>
      <c r="D7">
        <f>2*1.5+3.5*'Toma de datos y resultado'!I13</f>
        <v>3</v>
      </c>
      <c r="E7">
        <f>2*1.5+3.5*'Toma de datos y resultado'!I13</f>
        <v>3</v>
      </c>
      <c r="F7">
        <f>2*1+3.5*'Toma de datos y resultado'!I13</f>
        <v>2</v>
      </c>
      <c r="G7">
        <f>2*0.5+3.5*'Toma de datos y resultado'!I13</f>
        <v>1</v>
      </c>
    </row>
    <row r="10" spans="2:7" x14ac:dyDescent="0.25">
      <c r="B10" t="s">
        <v>131</v>
      </c>
      <c r="C10" t="e">
        <f>INDEX(C5:G7,MATCH('Toma de datos y resultado'!I15,B5:B7,0),MATCH('Toma de datos y resultado'!I21,C4:G4,0))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H14" sqref="H14"/>
    </sheetView>
  </sheetViews>
  <sheetFormatPr baseColWidth="10" defaultRowHeight="15" x14ac:dyDescent="0.25"/>
  <cols>
    <col min="2" max="2" width="22.7109375" customWidth="1"/>
    <col min="5" max="5" width="22.7109375" customWidth="1"/>
    <col min="6" max="6" width="14.5703125" customWidth="1"/>
  </cols>
  <sheetData>
    <row r="2" spans="2:6" x14ac:dyDescent="0.25">
      <c r="B2" t="s">
        <v>133</v>
      </c>
      <c r="C2">
        <f>('Toma de datos y resultado'!I5)*('Toma de datos y resultado'!I23/100)*400</f>
        <v>0</v>
      </c>
    </row>
    <row r="4" spans="2:6" x14ac:dyDescent="0.25">
      <c r="B4" t="s">
        <v>134</v>
      </c>
      <c r="C4">
        <f>C2*(100-'Toma de datos y resultado'!I27)/100</f>
        <v>0</v>
      </c>
      <c r="E4" t="s">
        <v>136</v>
      </c>
      <c r="F4">
        <f>C4*(100-'Toma de datos y resultado'!I25)/100</f>
        <v>0</v>
      </c>
    </row>
    <row r="5" spans="2:6" x14ac:dyDescent="0.25">
      <c r="E5" t="s">
        <v>137</v>
      </c>
      <c r="F5">
        <f>C4*'Toma de datos y resultado'!I25/100</f>
        <v>0</v>
      </c>
    </row>
    <row r="7" spans="2:6" x14ac:dyDescent="0.25">
      <c r="B7" t="s">
        <v>135</v>
      </c>
      <c r="C7">
        <f>C2*'Toma de datos y resultado'!I27/100</f>
        <v>0</v>
      </c>
      <c r="E7" t="s">
        <v>139</v>
      </c>
      <c r="F7">
        <f>IF(C7-C4&gt;0,C7-C4,0)</f>
        <v>0</v>
      </c>
    </row>
    <row r="8" spans="2:6" x14ac:dyDescent="0.25">
      <c r="E8" t="s">
        <v>140</v>
      </c>
      <c r="F8">
        <f>IF(C4-C7&gt;0,C7,IF(C4-C7&lt;0,C4,0))</f>
        <v>0</v>
      </c>
    </row>
    <row r="10" spans="2:6" x14ac:dyDescent="0.25">
      <c r="B10" t="s">
        <v>138</v>
      </c>
      <c r="C10">
        <f>IF(C4-C7&gt;0,C4-C7,0)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1"/>
  <sheetViews>
    <sheetView workbookViewId="0">
      <selection activeCell="F16" sqref="F16"/>
    </sheetView>
  </sheetViews>
  <sheetFormatPr baseColWidth="10" defaultRowHeight="15" x14ac:dyDescent="0.25"/>
  <cols>
    <col min="4" max="4" width="22.85546875" customWidth="1"/>
    <col min="6" max="6" width="23.140625" customWidth="1"/>
  </cols>
  <sheetData>
    <row r="4" spans="2:8" x14ac:dyDescent="0.25">
      <c r="B4" t="s">
        <v>77</v>
      </c>
      <c r="D4" t="s">
        <v>38</v>
      </c>
      <c r="F4" t="s">
        <v>129</v>
      </c>
      <c r="H4">
        <v>120</v>
      </c>
    </row>
    <row r="5" spans="2:8" x14ac:dyDescent="0.25">
      <c r="B5" t="s">
        <v>78</v>
      </c>
      <c r="D5" t="s">
        <v>39</v>
      </c>
      <c r="F5" t="s">
        <v>128</v>
      </c>
      <c r="H5">
        <v>100</v>
      </c>
    </row>
    <row r="6" spans="2:8" x14ac:dyDescent="0.25">
      <c r="B6" t="s">
        <v>79</v>
      </c>
      <c r="D6" t="s">
        <v>40</v>
      </c>
      <c r="F6" t="s">
        <v>127</v>
      </c>
      <c r="H6">
        <v>80</v>
      </c>
    </row>
    <row r="7" spans="2:8" x14ac:dyDescent="0.25">
      <c r="B7" t="s">
        <v>80</v>
      </c>
      <c r="D7" t="s">
        <v>70</v>
      </c>
      <c r="H7">
        <v>60</v>
      </c>
    </row>
    <row r="8" spans="2:8" x14ac:dyDescent="0.25">
      <c r="B8" t="s">
        <v>81</v>
      </c>
      <c r="D8" t="s">
        <v>124</v>
      </c>
      <c r="H8">
        <v>40</v>
      </c>
    </row>
    <row r="9" spans="2:8" x14ac:dyDescent="0.25">
      <c r="B9" t="s">
        <v>82</v>
      </c>
    </row>
    <row r="10" spans="2:8" x14ac:dyDescent="0.25">
      <c r="B10" t="s">
        <v>83</v>
      </c>
    </row>
    <row r="11" spans="2:8" x14ac:dyDescent="0.25">
      <c r="B1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Instrucciones</vt:lpstr>
      <vt:lpstr>Toma de datos y resultado</vt:lpstr>
      <vt:lpstr>Base de datos</vt:lpstr>
      <vt:lpstr>Cálculo conocidas</vt:lpstr>
      <vt:lpstr>Estimación mediciones</vt:lpstr>
      <vt:lpstr>Cálculo estimadas</vt:lpstr>
      <vt:lpstr>Secciones de firme</vt:lpstr>
      <vt:lpstr>Anchura</vt:lpstr>
      <vt:lpstr>Movimiento de tierras</vt:lpstr>
      <vt:lpstr>Auxiliar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2016-03-28T10:19:43Z</dcterms:modified>
</cp:coreProperties>
</file>