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filterPrivacy="1"/>
  <xr:revisionPtr revIDLastSave="0" documentId="13_ncr:1_{005EB731-CE81-40A1-B7FD-2009EB8DFEB2}" xr6:coauthVersionLast="34" xr6:coauthVersionMax="34" xr10:uidLastSave="{00000000-0000-0000-0000-000000000000}"/>
  <bookViews>
    <workbookView xWindow="0" yWindow="0" windowWidth="22260" windowHeight="12645" xr2:uid="{00000000-000D-0000-FFFF-FFFF00000000}"/>
  </bookViews>
  <sheets>
    <sheet name="Datos-Resultado" sheetId="1" r:id="rId1"/>
    <sheet name="Operaciones" sheetId="2" r:id="rId2"/>
    <sheet name="Recorridos" sheetId="3" r:id="rId3"/>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3" l="1"/>
  <c r="J4" i="3" s="1"/>
  <c r="K4" i="3" s="1"/>
  <c r="D4" i="3"/>
  <c r="H4" i="3" s="1"/>
  <c r="I4" i="3" s="1"/>
  <c r="C4" i="3"/>
  <c r="F4" i="3" s="1"/>
  <c r="G4" i="3" s="1"/>
  <c r="B5" i="3" l="1"/>
  <c r="E5" i="3" l="1"/>
  <c r="J5" i="3" s="1"/>
  <c r="K5" i="3" s="1"/>
  <c r="D5" i="3"/>
  <c r="H5" i="3" s="1"/>
  <c r="I5" i="3" s="1"/>
  <c r="C5" i="3"/>
  <c r="F5" i="3" s="1"/>
  <c r="G5" i="3" s="1"/>
  <c r="B6" i="3"/>
  <c r="F12" i="1"/>
  <c r="H12" i="1" s="1"/>
  <c r="C6" i="3" l="1"/>
  <c r="F6" i="3" s="1"/>
  <c r="G6" i="3" s="1"/>
  <c r="E6" i="3"/>
  <c r="J6" i="3" s="1"/>
  <c r="K6" i="3" s="1"/>
  <c r="D6" i="3"/>
  <c r="H6" i="3" s="1"/>
  <c r="I6" i="3" s="1"/>
  <c r="B7" i="3"/>
  <c r="F7" i="1"/>
  <c r="H7" i="1" s="1"/>
  <c r="D7" i="3" l="1"/>
  <c r="H7" i="3" s="1"/>
  <c r="I7" i="3" s="1"/>
  <c r="E7" i="3"/>
  <c r="J7" i="3" s="1"/>
  <c r="K7" i="3" s="1"/>
  <c r="C7" i="3"/>
  <c r="F7" i="3" s="1"/>
  <c r="G7" i="3" s="1"/>
  <c r="B8" i="3"/>
  <c r="D2" i="2"/>
  <c r="J2" i="2" s="1"/>
  <c r="F16" i="1"/>
  <c r="I16" i="1" s="1"/>
  <c r="E7" i="2" s="1"/>
  <c r="I12" i="1"/>
  <c r="D3" i="2"/>
  <c r="E8" i="3" l="1"/>
  <c r="J8" i="3" s="1"/>
  <c r="K8" i="3" s="1"/>
  <c r="D8" i="3"/>
  <c r="H8" i="3" s="1"/>
  <c r="I8" i="3" s="1"/>
  <c r="C8" i="3"/>
  <c r="F8" i="3" s="1"/>
  <c r="G8" i="3" s="1"/>
  <c r="B9" i="3"/>
  <c r="E5" i="2"/>
  <c r="F2" i="2"/>
  <c r="H16" i="1"/>
  <c r="E9" i="3" l="1"/>
  <c r="J9" i="3" s="1"/>
  <c r="K9" i="3" s="1"/>
  <c r="D9" i="3"/>
  <c r="H9" i="3" s="1"/>
  <c r="I9" i="3" s="1"/>
  <c r="C9" i="3"/>
  <c r="F9" i="3" s="1"/>
  <c r="G9" i="3" s="1"/>
  <c r="B10" i="3"/>
  <c r="D7" i="2"/>
  <c r="J7" i="2" s="1"/>
  <c r="H17" i="1"/>
  <c r="D5" i="2"/>
  <c r="H13" i="1"/>
  <c r="J5" i="2" l="1"/>
  <c r="D10" i="2" s="1"/>
  <c r="F28" i="1"/>
  <c r="D28" i="1"/>
  <c r="D27" i="1"/>
  <c r="B25" i="1"/>
  <c r="C10" i="3"/>
  <c r="F10" i="3" s="1"/>
  <c r="G10" i="3" s="1"/>
  <c r="E10" i="3"/>
  <c r="J10" i="3" s="1"/>
  <c r="K10" i="3" s="1"/>
  <c r="D10" i="3"/>
  <c r="H10" i="3" s="1"/>
  <c r="I10" i="3" s="1"/>
  <c r="B11" i="3"/>
  <c r="C27" i="2"/>
  <c r="E27" i="2" s="1"/>
  <c r="C19" i="2"/>
  <c r="E19" i="2" s="1"/>
  <c r="D11" i="3" l="1"/>
  <c r="H11" i="3" s="1"/>
  <c r="I11" i="3" s="1"/>
  <c r="E11" i="3"/>
  <c r="J11" i="3" s="1"/>
  <c r="K11" i="3" s="1"/>
  <c r="C11" i="3"/>
  <c r="F11" i="3" s="1"/>
  <c r="G11" i="3" s="1"/>
  <c r="B12" i="3"/>
  <c r="D12" i="2" l="1"/>
  <c r="B35" i="2" s="1"/>
  <c r="C35" i="2" s="1"/>
  <c r="E12" i="3"/>
  <c r="J12" i="3" s="1"/>
  <c r="K12" i="3" s="1"/>
  <c r="C12" i="3"/>
  <c r="F12" i="3" s="1"/>
  <c r="G12" i="3" s="1"/>
  <c r="D12" i="3"/>
  <c r="H12" i="3" s="1"/>
  <c r="I12" i="3" s="1"/>
  <c r="B13" i="3"/>
  <c r="F10" i="2"/>
  <c r="J12" i="2" l="1"/>
  <c r="L12" i="2" s="1"/>
  <c r="E9" i="2"/>
  <c r="D35" i="2"/>
  <c r="G35" i="2"/>
  <c r="E13" i="3"/>
  <c r="J13" i="3" s="1"/>
  <c r="K13" i="3" s="1"/>
  <c r="D13" i="3"/>
  <c r="H13" i="3" s="1"/>
  <c r="I13" i="3" s="1"/>
  <c r="C13" i="3"/>
  <c r="F13" i="3" s="1"/>
  <c r="G13" i="3" s="1"/>
  <c r="B14" i="3"/>
  <c r="C18" i="2"/>
  <c r="E18" i="2" s="1"/>
  <c r="G36" i="2" l="1"/>
  <c r="G28" i="1" s="1"/>
  <c r="B24" i="1"/>
  <c r="C25" i="2"/>
  <c r="E25" i="2" s="1"/>
  <c r="C26" i="2"/>
  <c r="E26" i="2" s="1"/>
  <c r="C14" i="3"/>
  <c r="F14" i="3" s="1"/>
  <c r="G14" i="3" s="1"/>
  <c r="E14" i="3"/>
  <c r="J14" i="3" s="1"/>
  <c r="K14" i="3" s="1"/>
  <c r="D14" i="3"/>
  <c r="H14" i="3" s="1"/>
  <c r="I14" i="3" s="1"/>
  <c r="B15" i="3"/>
  <c r="C17" i="2"/>
  <c r="E17" i="2" s="1"/>
  <c r="F18" i="2" s="1"/>
  <c r="G18" i="2" s="1"/>
  <c r="H18" i="2" s="1"/>
  <c r="F12" i="2"/>
  <c r="K14" i="2"/>
  <c r="J22" i="1" s="1"/>
  <c r="J14" i="2"/>
  <c r="E28" i="1" l="1"/>
  <c r="F26" i="2"/>
  <c r="G26" i="2" s="1"/>
  <c r="H26" i="2" s="1"/>
  <c r="H29" i="2" s="1"/>
  <c r="H30" i="2" s="1"/>
  <c r="E14" i="2"/>
  <c r="E22" i="1" s="1"/>
  <c r="G27" i="1" s="1"/>
  <c r="D14" i="2"/>
  <c r="C22" i="1" s="1"/>
  <c r="H21" i="2"/>
  <c r="H22" i="2" s="1"/>
  <c r="D15" i="3"/>
  <c r="H15" i="3" s="1"/>
  <c r="I15" i="3" s="1"/>
  <c r="E15" i="3"/>
  <c r="J15" i="3" s="1"/>
  <c r="K15" i="3" s="1"/>
  <c r="C15" i="3"/>
  <c r="F15" i="3" s="1"/>
  <c r="G15" i="3" s="1"/>
  <c r="B16" i="3"/>
  <c r="J18" i="2"/>
  <c r="D21" i="2" s="1"/>
  <c r="H22" i="1"/>
  <c r="I22" i="1" s="1"/>
  <c r="J26" i="2" l="1"/>
  <c r="D29" i="2" s="1"/>
  <c r="D22" i="1"/>
  <c r="F27" i="1" s="1"/>
  <c r="E27" i="1"/>
  <c r="E23" i="1"/>
  <c r="C23" i="1"/>
  <c r="D23" i="1" s="1"/>
  <c r="E16" i="3"/>
  <c r="J16" i="3" s="1"/>
  <c r="K16" i="3" s="1"/>
  <c r="C16" i="3"/>
  <c r="F16" i="3" s="1"/>
  <c r="G16" i="3" s="1"/>
  <c r="D16" i="3"/>
  <c r="H16" i="3" s="1"/>
  <c r="I16" i="3" s="1"/>
  <c r="B17" i="3"/>
  <c r="J23" i="1"/>
  <c r="H23" i="1"/>
  <c r="I23" i="1" s="1"/>
  <c r="E17" i="3" l="1"/>
  <c r="J17" i="3" s="1"/>
  <c r="K17" i="3" s="1"/>
  <c r="D17" i="3"/>
  <c r="H17" i="3" s="1"/>
  <c r="I17" i="3" s="1"/>
  <c r="C17" i="3"/>
  <c r="F17" i="3" s="1"/>
  <c r="G17" i="3" s="1"/>
  <c r="B18" i="3"/>
  <c r="C18" i="3" l="1"/>
  <c r="F18" i="3" s="1"/>
  <c r="G18" i="3" s="1"/>
  <c r="E18" i="3"/>
  <c r="J18" i="3" s="1"/>
  <c r="K18" i="3" s="1"/>
  <c r="D18" i="3"/>
  <c r="H18" i="3" s="1"/>
  <c r="I18" i="3" s="1"/>
  <c r="B19" i="3"/>
  <c r="D19" i="3" l="1"/>
  <c r="H19" i="3" s="1"/>
  <c r="I19" i="3" s="1"/>
  <c r="E19" i="3"/>
  <c r="J19" i="3" s="1"/>
  <c r="K19" i="3" s="1"/>
  <c r="C19" i="3"/>
  <c r="F19" i="3" s="1"/>
  <c r="G19" i="3" s="1"/>
  <c r="B20" i="3"/>
  <c r="E20" i="3" l="1"/>
  <c r="J20" i="3" s="1"/>
  <c r="K20" i="3" s="1"/>
  <c r="C20" i="3"/>
  <c r="F20" i="3" s="1"/>
  <c r="G20" i="3" s="1"/>
  <c r="D20" i="3"/>
  <c r="H20" i="3" s="1"/>
  <c r="I20" i="3" s="1"/>
  <c r="B21" i="3"/>
  <c r="E21" i="3" l="1"/>
  <c r="J21" i="3" s="1"/>
  <c r="K21" i="3" s="1"/>
  <c r="D21" i="3"/>
  <c r="H21" i="3" s="1"/>
  <c r="I21" i="3" s="1"/>
  <c r="C21" i="3"/>
  <c r="F21" i="3" s="1"/>
  <c r="G21" i="3" s="1"/>
  <c r="B22" i="3"/>
  <c r="C22" i="3" l="1"/>
  <c r="F22" i="3" s="1"/>
  <c r="G22" i="3" s="1"/>
  <c r="E22" i="3"/>
  <c r="J22" i="3" s="1"/>
  <c r="K22" i="3" s="1"/>
  <c r="D22" i="3"/>
  <c r="H22" i="3" s="1"/>
  <c r="I22" i="3" s="1"/>
  <c r="B23" i="3"/>
  <c r="D23" i="3" l="1"/>
  <c r="H23" i="3" s="1"/>
  <c r="I23" i="3" s="1"/>
  <c r="E23" i="3"/>
  <c r="J23" i="3" s="1"/>
  <c r="K23" i="3" s="1"/>
  <c r="C23" i="3"/>
  <c r="F23" i="3" s="1"/>
  <c r="G23" i="3" s="1"/>
  <c r="B24" i="3"/>
  <c r="E24" i="3" l="1"/>
  <c r="J24" i="3" s="1"/>
  <c r="K24" i="3" s="1"/>
  <c r="C24" i="3"/>
  <c r="F24" i="3" s="1"/>
  <c r="G24" i="3" s="1"/>
  <c r="D24" i="3"/>
  <c r="H24" i="3" s="1"/>
  <c r="I24" i="3" s="1"/>
  <c r="B25" i="3"/>
  <c r="E25" i="3" l="1"/>
  <c r="J25" i="3" s="1"/>
  <c r="K25" i="3" s="1"/>
  <c r="D25" i="3"/>
  <c r="H25" i="3" s="1"/>
  <c r="I25" i="3" s="1"/>
  <c r="C25" i="3"/>
  <c r="F25" i="3" s="1"/>
  <c r="G25" i="3" s="1"/>
  <c r="B26" i="3"/>
  <c r="C26" i="3" l="1"/>
  <c r="F26" i="3" s="1"/>
  <c r="G26" i="3" s="1"/>
  <c r="E26" i="3"/>
  <c r="J26" i="3" s="1"/>
  <c r="K26" i="3" s="1"/>
  <c r="D26" i="3"/>
  <c r="H26" i="3" s="1"/>
  <c r="I26" i="3" s="1"/>
  <c r="B27" i="3"/>
  <c r="D27" i="3" l="1"/>
  <c r="H27" i="3" s="1"/>
  <c r="I27" i="3" s="1"/>
  <c r="E27" i="3"/>
  <c r="J27" i="3" s="1"/>
  <c r="K27" i="3" s="1"/>
  <c r="C27" i="3"/>
  <c r="F27" i="3" s="1"/>
  <c r="G27" i="3" s="1"/>
  <c r="B28" i="3"/>
  <c r="E28" i="3" l="1"/>
  <c r="J28" i="3" s="1"/>
  <c r="K28" i="3" s="1"/>
  <c r="C28" i="3"/>
  <c r="F28" i="3" s="1"/>
  <c r="G28" i="3" s="1"/>
  <c r="D28" i="3"/>
  <c r="H28" i="3" s="1"/>
  <c r="I28" i="3" s="1"/>
  <c r="B29" i="3"/>
  <c r="E29" i="3" l="1"/>
  <c r="J29" i="3" s="1"/>
  <c r="K29" i="3" s="1"/>
  <c r="D29" i="3"/>
  <c r="H29" i="3" s="1"/>
  <c r="I29" i="3" s="1"/>
  <c r="C29" i="3"/>
  <c r="F29" i="3" s="1"/>
  <c r="G29" i="3" s="1"/>
  <c r="B30" i="3"/>
  <c r="C30" i="3" l="1"/>
  <c r="F30" i="3" s="1"/>
  <c r="G30" i="3" s="1"/>
  <c r="E30" i="3"/>
  <c r="J30" i="3" s="1"/>
  <c r="K30" i="3" s="1"/>
  <c r="D30" i="3"/>
  <c r="H30" i="3" s="1"/>
  <c r="I30" i="3" s="1"/>
  <c r="B31" i="3"/>
  <c r="D31" i="3" l="1"/>
  <c r="H31" i="3" s="1"/>
  <c r="I31" i="3" s="1"/>
  <c r="E31" i="3"/>
  <c r="J31" i="3" s="1"/>
  <c r="K31" i="3" s="1"/>
  <c r="C31" i="3"/>
  <c r="F31" i="3" s="1"/>
  <c r="G31" i="3" s="1"/>
  <c r="B32" i="3"/>
  <c r="E32" i="3" l="1"/>
  <c r="J32" i="3" s="1"/>
  <c r="K32" i="3" s="1"/>
  <c r="C32" i="3"/>
  <c r="F32" i="3" s="1"/>
  <c r="G32" i="3" s="1"/>
  <c r="D32" i="3"/>
  <c r="H32" i="3" s="1"/>
  <c r="I32" i="3" s="1"/>
  <c r="B33" i="3"/>
  <c r="E33" i="3" l="1"/>
  <c r="J33" i="3" s="1"/>
  <c r="K33" i="3" s="1"/>
  <c r="D33" i="3"/>
  <c r="H33" i="3" s="1"/>
  <c r="I33" i="3" s="1"/>
  <c r="C33" i="3"/>
  <c r="F33" i="3" s="1"/>
  <c r="G33" i="3" s="1"/>
  <c r="B34" i="3"/>
  <c r="C34" i="3" l="1"/>
  <c r="F34" i="3" s="1"/>
  <c r="G34" i="3" s="1"/>
  <c r="E34" i="3"/>
  <c r="J34" i="3" s="1"/>
  <c r="K34" i="3" s="1"/>
  <c r="D34" i="3"/>
  <c r="H34" i="3" s="1"/>
  <c r="I34" i="3" s="1"/>
  <c r="B35" i="3"/>
  <c r="D35" i="3" l="1"/>
  <c r="H35" i="3" s="1"/>
  <c r="I35" i="3" s="1"/>
  <c r="E35" i="3"/>
  <c r="J35" i="3" s="1"/>
  <c r="K35" i="3" s="1"/>
  <c r="C35" i="3"/>
  <c r="F35" i="3" s="1"/>
  <c r="G35" i="3" s="1"/>
  <c r="B36" i="3"/>
  <c r="E36" i="3" l="1"/>
  <c r="J36" i="3" s="1"/>
  <c r="K36" i="3" s="1"/>
  <c r="C36" i="3"/>
  <c r="F36" i="3" s="1"/>
  <c r="G36" i="3" s="1"/>
  <c r="D36" i="3"/>
  <c r="H36" i="3" s="1"/>
  <c r="I36" i="3" s="1"/>
  <c r="B37" i="3"/>
  <c r="E37" i="3" l="1"/>
  <c r="J37" i="3" s="1"/>
  <c r="K37" i="3" s="1"/>
  <c r="D37" i="3"/>
  <c r="H37" i="3" s="1"/>
  <c r="I37" i="3" s="1"/>
  <c r="C37" i="3"/>
  <c r="F37" i="3" s="1"/>
  <c r="G37" i="3" s="1"/>
  <c r="B38" i="3"/>
  <c r="C38" i="3" l="1"/>
  <c r="F38" i="3" s="1"/>
  <c r="G38" i="3" s="1"/>
  <c r="E38" i="3"/>
  <c r="J38" i="3" s="1"/>
  <c r="K38" i="3" s="1"/>
  <c r="D38" i="3"/>
  <c r="H38" i="3" s="1"/>
  <c r="I38" i="3" s="1"/>
  <c r="B39" i="3"/>
  <c r="D39" i="3" l="1"/>
  <c r="H39" i="3" s="1"/>
  <c r="I39" i="3" s="1"/>
  <c r="E39" i="3"/>
  <c r="J39" i="3" s="1"/>
  <c r="K39" i="3" s="1"/>
  <c r="C39" i="3"/>
  <c r="F39" i="3" s="1"/>
  <c r="G39" i="3" s="1"/>
  <c r="B40" i="3"/>
  <c r="E40" i="3" l="1"/>
  <c r="J40" i="3" s="1"/>
  <c r="K40" i="3" s="1"/>
  <c r="C40" i="3"/>
  <c r="F40" i="3" s="1"/>
  <c r="G40" i="3" s="1"/>
  <c r="D40" i="3"/>
  <c r="H40" i="3" s="1"/>
  <c r="I40" i="3" s="1"/>
  <c r="B41" i="3"/>
  <c r="E41" i="3" l="1"/>
  <c r="J41" i="3" s="1"/>
  <c r="K41" i="3" s="1"/>
  <c r="D41" i="3"/>
  <c r="H41" i="3" s="1"/>
  <c r="I41" i="3" s="1"/>
  <c r="C41" i="3"/>
  <c r="F41" i="3" s="1"/>
  <c r="G41" i="3" s="1"/>
  <c r="B42" i="3"/>
  <c r="C42" i="3" l="1"/>
  <c r="F42" i="3" s="1"/>
  <c r="G42" i="3" s="1"/>
  <c r="E42" i="3"/>
  <c r="J42" i="3" s="1"/>
  <c r="K42" i="3" s="1"/>
  <c r="D42" i="3"/>
  <c r="H42" i="3" s="1"/>
  <c r="I42" i="3" s="1"/>
  <c r="B43" i="3"/>
  <c r="D43" i="3" l="1"/>
  <c r="H43" i="3" s="1"/>
  <c r="I43" i="3" s="1"/>
  <c r="E43" i="3"/>
  <c r="J43" i="3" s="1"/>
  <c r="K43" i="3" s="1"/>
  <c r="C43" i="3"/>
  <c r="F43" i="3" s="1"/>
  <c r="G43" i="3" s="1"/>
  <c r="B44" i="3"/>
  <c r="E44" i="3" l="1"/>
  <c r="J44" i="3" s="1"/>
  <c r="K44" i="3" s="1"/>
  <c r="C44" i="3"/>
  <c r="F44" i="3" s="1"/>
  <c r="G44" i="3" s="1"/>
  <c r="D44" i="3"/>
  <c r="H44" i="3" s="1"/>
  <c r="I44" i="3" s="1"/>
  <c r="B45" i="3"/>
  <c r="E45" i="3" l="1"/>
  <c r="J45" i="3" s="1"/>
  <c r="K45" i="3" s="1"/>
  <c r="D45" i="3"/>
  <c r="H45" i="3" s="1"/>
  <c r="I45" i="3" s="1"/>
  <c r="C45" i="3"/>
  <c r="F45" i="3" s="1"/>
  <c r="G45" i="3" s="1"/>
  <c r="B46" i="3"/>
  <c r="C46" i="3" l="1"/>
  <c r="F46" i="3" s="1"/>
  <c r="G46" i="3" s="1"/>
  <c r="E46" i="3"/>
  <c r="J46" i="3" s="1"/>
  <c r="K46" i="3" s="1"/>
  <c r="D46" i="3"/>
  <c r="H46" i="3" s="1"/>
  <c r="I46" i="3" s="1"/>
  <c r="B47" i="3"/>
  <c r="D47" i="3" l="1"/>
  <c r="H47" i="3" s="1"/>
  <c r="I47" i="3" s="1"/>
  <c r="E47" i="3"/>
  <c r="J47" i="3" s="1"/>
  <c r="K47" i="3" s="1"/>
  <c r="C47" i="3"/>
  <c r="F47" i="3" s="1"/>
  <c r="G47" i="3" s="1"/>
  <c r="B48" i="3"/>
  <c r="E48" i="3" l="1"/>
  <c r="J48" i="3" s="1"/>
  <c r="K48" i="3" s="1"/>
  <c r="C48" i="3"/>
  <c r="F48" i="3" s="1"/>
  <c r="G48" i="3" s="1"/>
  <c r="D48" i="3"/>
  <c r="H48" i="3" s="1"/>
  <c r="I48" i="3" s="1"/>
  <c r="B49" i="3"/>
  <c r="E49" i="3" l="1"/>
  <c r="J49" i="3" s="1"/>
  <c r="K49" i="3" s="1"/>
  <c r="D49" i="3"/>
  <c r="H49" i="3" s="1"/>
  <c r="I49" i="3" s="1"/>
  <c r="C49" i="3"/>
  <c r="F49" i="3" s="1"/>
  <c r="G49" i="3" s="1"/>
  <c r="B50" i="3"/>
  <c r="C50" i="3" l="1"/>
  <c r="F50" i="3" s="1"/>
  <c r="G50" i="3" s="1"/>
  <c r="E50" i="3"/>
  <c r="J50" i="3" s="1"/>
  <c r="K50" i="3" s="1"/>
  <c r="D50" i="3"/>
  <c r="H50" i="3" s="1"/>
  <c r="I50" i="3" s="1"/>
  <c r="B51" i="3"/>
  <c r="D51" i="3" l="1"/>
  <c r="H51" i="3" s="1"/>
  <c r="I51" i="3" s="1"/>
  <c r="E51" i="3"/>
  <c r="J51" i="3" s="1"/>
  <c r="K51" i="3" s="1"/>
  <c r="C51" i="3"/>
  <c r="F51" i="3" s="1"/>
  <c r="G51" i="3" s="1"/>
  <c r="B52" i="3"/>
  <c r="E52" i="3" l="1"/>
  <c r="J52" i="3" s="1"/>
  <c r="K52" i="3" s="1"/>
  <c r="C52" i="3"/>
  <c r="F52" i="3" s="1"/>
  <c r="G52" i="3" s="1"/>
  <c r="D52" i="3"/>
  <c r="H52" i="3" s="1"/>
  <c r="I52" i="3" s="1"/>
  <c r="B53" i="3"/>
  <c r="E53" i="3" l="1"/>
  <c r="J53" i="3" s="1"/>
  <c r="K53" i="3" s="1"/>
  <c r="D53" i="3"/>
  <c r="H53" i="3" s="1"/>
  <c r="I53" i="3" s="1"/>
  <c r="C53" i="3"/>
  <c r="F53" i="3" s="1"/>
  <c r="G53" i="3" s="1"/>
  <c r="B54" i="3"/>
  <c r="C54" i="3" l="1"/>
  <c r="F54" i="3" s="1"/>
  <c r="G54" i="3" s="1"/>
  <c r="E54" i="3"/>
  <c r="J54" i="3" s="1"/>
  <c r="K54" i="3" s="1"/>
  <c r="D54" i="3"/>
  <c r="H54" i="3" s="1"/>
  <c r="I54" i="3" s="1"/>
  <c r="B55" i="3"/>
  <c r="D55" i="3" l="1"/>
  <c r="H55" i="3" s="1"/>
  <c r="I55" i="3" s="1"/>
  <c r="E55" i="3"/>
  <c r="J55" i="3" s="1"/>
  <c r="K55" i="3" s="1"/>
  <c r="C55" i="3"/>
  <c r="F55" i="3" s="1"/>
  <c r="G55" i="3" s="1"/>
  <c r="B56" i="3"/>
  <c r="E56" i="3" l="1"/>
  <c r="J56" i="3" s="1"/>
  <c r="K56" i="3" s="1"/>
  <c r="C56" i="3"/>
  <c r="F56" i="3" s="1"/>
  <c r="G56" i="3" s="1"/>
  <c r="D56" i="3"/>
  <c r="H56" i="3" s="1"/>
  <c r="I56" i="3" s="1"/>
  <c r="B57" i="3"/>
  <c r="E57" i="3" l="1"/>
  <c r="J57" i="3" s="1"/>
  <c r="K57" i="3" s="1"/>
  <c r="D57" i="3"/>
  <c r="H57" i="3" s="1"/>
  <c r="I57" i="3" s="1"/>
  <c r="C57" i="3"/>
  <c r="F57" i="3" s="1"/>
  <c r="G57" i="3" s="1"/>
  <c r="B58" i="3"/>
  <c r="C58" i="3" l="1"/>
  <c r="F58" i="3" s="1"/>
  <c r="G58" i="3" s="1"/>
  <c r="E58" i="3"/>
  <c r="J58" i="3" s="1"/>
  <c r="K58" i="3" s="1"/>
  <c r="D58" i="3"/>
  <c r="H58" i="3" s="1"/>
  <c r="I58" i="3" s="1"/>
  <c r="B59" i="3"/>
  <c r="D59" i="3" l="1"/>
  <c r="H59" i="3" s="1"/>
  <c r="I59" i="3" s="1"/>
  <c r="E59" i="3"/>
  <c r="J59" i="3" s="1"/>
  <c r="K59" i="3" s="1"/>
  <c r="C59" i="3"/>
  <c r="F59" i="3" s="1"/>
  <c r="G59" i="3" s="1"/>
  <c r="B60" i="3"/>
  <c r="E60" i="3" l="1"/>
  <c r="J60" i="3" s="1"/>
  <c r="K60" i="3" s="1"/>
  <c r="C60" i="3"/>
  <c r="F60" i="3" s="1"/>
  <c r="G60" i="3" s="1"/>
  <c r="D60" i="3"/>
  <c r="H60" i="3" s="1"/>
  <c r="I60" i="3" s="1"/>
  <c r="B61" i="3"/>
  <c r="E61" i="3" l="1"/>
  <c r="J61" i="3" s="1"/>
  <c r="K61" i="3" s="1"/>
  <c r="D61" i="3"/>
  <c r="H61" i="3" s="1"/>
  <c r="I61" i="3" s="1"/>
  <c r="C61" i="3"/>
  <c r="F61" i="3" s="1"/>
  <c r="G61" i="3" s="1"/>
  <c r="B62" i="3"/>
  <c r="C62" i="3" l="1"/>
  <c r="F62" i="3" s="1"/>
  <c r="G62" i="3" s="1"/>
  <c r="E62" i="3"/>
  <c r="J62" i="3" s="1"/>
  <c r="K62" i="3" s="1"/>
  <c r="D62" i="3"/>
  <c r="H62" i="3" s="1"/>
  <c r="I62" i="3" s="1"/>
  <c r="B63" i="3"/>
  <c r="D63" i="3" l="1"/>
  <c r="H63" i="3" s="1"/>
  <c r="I63" i="3" s="1"/>
  <c r="E63" i="3"/>
  <c r="J63" i="3" s="1"/>
  <c r="K63" i="3" s="1"/>
  <c r="C63" i="3"/>
  <c r="F63" i="3" s="1"/>
  <c r="G63" i="3" s="1"/>
  <c r="B64" i="3"/>
  <c r="E64" i="3" l="1"/>
  <c r="J64" i="3" s="1"/>
  <c r="K64" i="3" s="1"/>
  <c r="C64" i="3"/>
  <c r="F64" i="3" s="1"/>
  <c r="G64" i="3" s="1"/>
  <c r="D64" i="3"/>
  <c r="H64" i="3" s="1"/>
  <c r="I64" i="3" s="1"/>
  <c r="B65" i="3"/>
  <c r="E65" i="3" l="1"/>
  <c r="J65" i="3" s="1"/>
  <c r="K65" i="3" s="1"/>
  <c r="D65" i="3"/>
  <c r="H65" i="3" s="1"/>
  <c r="I65" i="3" s="1"/>
  <c r="C65" i="3"/>
  <c r="F65" i="3" s="1"/>
  <c r="G65" i="3" s="1"/>
  <c r="B66" i="3"/>
  <c r="C66" i="3" l="1"/>
  <c r="F66" i="3" s="1"/>
  <c r="G66" i="3" s="1"/>
  <c r="E66" i="3"/>
  <c r="J66" i="3" s="1"/>
  <c r="K66" i="3" s="1"/>
  <c r="D66" i="3"/>
  <c r="H66" i="3" s="1"/>
  <c r="I66" i="3" s="1"/>
  <c r="B67" i="3"/>
  <c r="D67" i="3" l="1"/>
  <c r="H67" i="3" s="1"/>
  <c r="I67" i="3" s="1"/>
  <c r="E67" i="3"/>
  <c r="J67" i="3" s="1"/>
  <c r="K67" i="3" s="1"/>
  <c r="C67" i="3"/>
  <c r="F67" i="3" s="1"/>
  <c r="G67" i="3" s="1"/>
  <c r="B68" i="3"/>
  <c r="E68" i="3" l="1"/>
  <c r="J68" i="3" s="1"/>
  <c r="K68" i="3" s="1"/>
  <c r="C68" i="3"/>
  <c r="F68" i="3" s="1"/>
  <c r="G68" i="3" s="1"/>
  <c r="D68" i="3"/>
  <c r="H68" i="3" s="1"/>
  <c r="I68" i="3" s="1"/>
  <c r="B69" i="3"/>
  <c r="E69" i="3" l="1"/>
  <c r="J69" i="3" s="1"/>
  <c r="K69" i="3" s="1"/>
  <c r="D69" i="3"/>
  <c r="H69" i="3" s="1"/>
  <c r="I69" i="3" s="1"/>
  <c r="C69" i="3"/>
  <c r="F69" i="3" s="1"/>
  <c r="G69" i="3" s="1"/>
  <c r="B70" i="3"/>
  <c r="C70" i="3" l="1"/>
  <c r="F70" i="3" s="1"/>
  <c r="G70" i="3" s="1"/>
  <c r="E70" i="3"/>
  <c r="J70" i="3" s="1"/>
  <c r="K70" i="3" s="1"/>
  <c r="D70" i="3"/>
  <c r="H70" i="3" s="1"/>
  <c r="I70" i="3" s="1"/>
  <c r="B71" i="3"/>
  <c r="D71" i="3" l="1"/>
  <c r="H71" i="3" s="1"/>
  <c r="I71" i="3" s="1"/>
  <c r="E71" i="3"/>
  <c r="J71" i="3" s="1"/>
  <c r="K71" i="3" s="1"/>
  <c r="C71" i="3"/>
  <c r="F71" i="3" s="1"/>
  <c r="G71" i="3" s="1"/>
  <c r="B72" i="3"/>
  <c r="E72" i="3" l="1"/>
  <c r="J72" i="3" s="1"/>
  <c r="K72" i="3" s="1"/>
  <c r="C72" i="3"/>
  <c r="F72" i="3" s="1"/>
  <c r="G72" i="3" s="1"/>
  <c r="D72" i="3"/>
  <c r="H72" i="3" s="1"/>
  <c r="I72" i="3" s="1"/>
  <c r="B73" i="3"/>
  <c r="E73" i="3" l="1"/>
  <c r="J73" i="3" s="1"/>
  <c r="K73" i="3" s="1"/>
  <c r="D73" i="3"/>
  <c r="H73" i="3" s="1"/>
  <c r="I73" i="3" s="1"/>
  <c r="C73" i="3"/>
  <c r="F73" i="3" s="1"/>
  <c r="G73" i="3" s="1"/>
  <c r="B74" i="3"/>
  <c r="C74" i="3" l="1"/>
  <c r="F74" i="3" s="1"/>
  <c r="G74" i="3" s="1"/>
  <c r="E74" i="3"/>
  <c r="J74" i="3" s="1"/>
  <c r="K74" i="3" s="1"/>
  <c r="D74" i="3"/>
  <c r="H74" i="3" s="1"/>
  <c r="I74" i="3" s="1"/>
  <c r="B75" i="3"/>
  <c r="D75" i="3" l="1"/>
  <c r="H75" i="3" s="1"/>
  <c r="I75" i="3" s="1"/>
  <c r="E75" i="3"/>
  <c r="J75" i="3" s="1"/>
  <c r="K75" i="3" s="1"/>
  <c r="C75" i="3"/>
  <c r="F75" i="3" s="1"/>
  <c r="G75" i="3" s="1"/>
  <c r="B76" i="3"/>
  <c r="E76" i="3" l="1"/>
  <c r="J76" i="3" s="1"/>
  <c r="K76" i="3" s="1"/>
  <c r="C76" i="3"/>
  <c r="F76" i="3" s="1"/>
  <c r="G76" i="3" s="1"/>
  <c r="D76" i="3"/>
  <c r="H76" i="3" s="1"/>
  <c r="I7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7" authorId="0" shapeId="0" xr:uid="{2ED3388A-F046-42BF-97D3-B8D23924C470}">
      <text>
        <r>
          <rPr>
            <b/>
            <sz val="9"/>
            <color indexed="81"/>
            <rFont val="Tahoma"/>
            <family val="2"/>
          </rPr>
          <t>Autor:</t>
        </r>
        <r>
          <rPr>
            <sz val="9"/>
            <color indexed="81"/>
            <rFont val="Tahoma"/>
            <family val="2"/>
          </rPr>
          <t xml:space="preserve">
El lado del triángulo esferico a resolver es contado desde el vétrice del ángulo en el polo. Una vez pasada la latutud a grados será restada algebraicamente de 90⁰ asignandose el signo de la latitud mediante condición sobre la letra (componente) de esta. </t>
        </r>
      </text>
    </comment>
    <comment ref="B10" authorId="0" shapeId="0" xr:uid="{56DF6E43-5B63-4871-A89C-77A9670DAB7B}">
      <text>
        <r>
          <rPr>
            <b/>
            <sz val="9"/>
            <color indexed="81"/>
            <rFont val="Tahoma"/>
            <family val="2"/>
          </rPr>
          <t>Autor:</t>
        </r>
        <r>
          <rPr>
            <sz val="9"/>
            <color indexed="81"/>
            <rFont val="Tahoma"/>
            <family val="2"/>
          </rPr>
          <t xml:space="preserve">
Las demoras de recepción son introducidas según el rumbo circular (de 0⁰ a 360⁰) que entregan los radiogoniómetros. </t>
        </r>
      </text>
    </comment>
    <comment ref="H12" authorId="0" shapeId="0" xr:uid="{401DEAA7-76F7-44CB-B7E7-7F6132942002}">
      <text>
        <r>
          <rPr>
            <b/>
            <sz val="9"/>
            <color indexed="81"/>
            <rFont val="Tahoma"/>
            <family val="2"/>
          </rPr>
          <t>Autor:</t>
        </r>
        <r>
          <rPr>
            <sz val="9"/>
            <color indexed="81"/>
            <rFont val="Tahoma"/>
            <family val="2"/>
          </rPr>
          <t xml:space="preserve">
Se obtiene el ángulo esférico del trinángulo a resolver. Pasado de 180⁰, el ángulo de recepción de la señal es contado desde el meridiano superior en sentido antihorario (en este caso el rúmbo de recepción tendrá componente W). Se determinará, una vez resuelto el triángulo, la λ del Buque (B).  </t>
        </r>
      </text>
    </comment>
    <comment ref="I16" authorId="0" shapeId="0" xr:uid="{BFA929DA-8FEE-4052-9B96-90306EEAF6A7}">
      <text>
        <r>
          <rPr>
            <b/>
            <sz val="9"/>
            <color indexed="81"/>
            <rFont val="Tahoma"/>
            <family val="2"/>
          </rPr>
          <t>Autor:</t>
        </r>
        <r>
          <rPr>
            <sz val="9"/>
            <color indexed="81"/>
            <rFont val="Tahoma"/>
            <family val="2"/>
          </rPr>
          <t xml:space="preserve">
Indica la componente "E" "W" de recepción de la señal. Determinando la dimensión del ángulo en el triángulo esférico a resolver. Resuelto, se determina la λ en función de si recibió por el "E" u "W". La obtención de la latitud es independiente de esto.</t>
        </r>
      </text>
    </comment>
    <comment ref="B24" authorId="0" shapeId="0" xr:uid="{C2DABF9B-13CA-4805-B180-45FCEA767914}">
      <text>
        <r>
          <rPr>
            <b/>
            <sz val="9"/>
            <color indexed="81"/>
            <rFont val="Tahoma"/>
            <family val="2"/>
          </rPr>
          <t>Autor:</t>
        </r>
        <r>
          <rPr>
            <sz val="9"/>
            <color indexed="81"/>
            <rFont val="Tahoma"/>
            <family val="2"/>
          </rPr>
          <t xml:space="preserve">
Para el caso de dos posibles soluciones, con saber en que hemisferio nos encontramos basta para descartar una de ellas, al quedar la otra bastante alejada de ser posible.
 </t>
        </r>
      </text>
    </comment>
    <comment ref="G27" authorId="0" shapeId="0" xr:uid="{1AEC6659-2858-4358-85F9-1F7D8F0A6BDD}">
      <text>
        <r>
          <rPr>
            <b/>
            <sz val="9"/>
            <color indexed="81"/>
            <rFont val="Tahoma"/>
            <family val="2"/>
          </rPr>
          <t>Autor:</t>
        </r>
        <r>
          <rPr>
            <sz val="9"/>
            <color indexed="81"/>
            <rFont val="Tahoma"/>
            <family val="2"/>
          </rPr>
          <t xml:space="preserve">
En estas casillas aparecerá la posición del buque en el caso particular de que las lecturas de los radiogoniómetros entreguen para la resolución del triángulo esférico ángulos iguales y distintos a 90⁰. Ya que si A=B=90⁰, entonces a=b=90⁰ y existirían infinitas soluciones para este supuesto. El cual no sucederá al no estar ninguna de las estaciones usadas en el ecuador.
</t>
        </r>
      </text>
    </comment>
  </commentList>
</comments>
</file>

<file path=xl/sharedStrings.xml><?xml version="1.0" encoding="utf-8"?>
<sst xmlns="http://schemas.openxmlformats.org/spreadsheetml/2006/main" count="80" uniqueCount="60">
  <si>
    <t>POSICIÓN DE LA ESTACIÓN</t>
  </si>
  <si>
    <t>Longitud</t>
  </si>
  <si>
    <t>Latitud</t>
  </si>
  <si>
    <t>Grados</t>
  </si>
  <si>
    <t>Minutos</t>
  </si>
  <si>
    <t>Signo</t>
  </si>
  <si>
    <t>DATOS DE ENTRADA</t>
  </si>
  <si>
    <t>DATOS DE SALIDA</t>
  </si>
  <si>
    <t>Longitud Estación</t>
  </si>
  <si>
    <t>Ángulo Estación</t>
  </si>
  <si>
    <t>Ángulo Buque</t>
  </si>
  <si>
    <t>Radianes</t>
  </si>
  <si>
    <t>LADO_Latitud Estación</t>
  </si>
  <si>
    <t>Conocidos estos tres datos del triángulo esférico se resolverá y determinará la posición del Buque.</t>
  </si>
  <si>
    <t>sen b=</t>
  </si>
  <si>
    <t>sen A=</t>
  </si>
  <si>
    <t>sen B=</t>
  </si>
  <si>
    <t>(a-b)/2=</t>
  </si>
  <si>
    <t>(a+b)/2=</t>
  </si>
  <si>
    <t>(A-B)/2=</t>
  </si>
  <si>
    <t>tg((A-B)/2)=</t>
  </si>
  <si>
    <t>sen((a-b)/2)=</t>
  </si>
  <si>
    <t>sen((a+b)/2)=</t>
  </si>
  <si>
    <t>POSIBLES LADOS (Buque)</t>
  </si>
  <si>
    <t>POSICIÓN DEL BUQUE(1)</t>
  </si>
  <si>
    <t>POSICIÓN DEL BUQUE(2)</t>
  </si>
  <si>
    <t>Longutid</t>
  </si>
  <si>
    <t>LADO (1) Buque=</t>
  </si>
  <si>
    <t>VERIFICACIÓN</t>
  </si>
  <si>
    <t>LADO (2) Buque=</t>
  </si>
  <si>
    <t>Latitud (2) Buque</t>
  </si>
  <si>
    <t>Latitud (1) Buque</t>
  </si>
  <si>
    <r>
      <t>Ángulo en el Polo (1)=</t>
    </r>
    <r>
      <rPr>
        <sz val="11"/>
        <color theme="1"/>
        <rFont val="Calibri"/>
        <family val="2"/>
      </rPr>
      <t>₡1=</t>
    </r>
  </si>
  <si>
    <t>Longitud (1) Buque=</t>
  </si>
  <si>
    <t>₡1=</t>
  </si>
  <si>
    <t>₡2=</t>
  </si>
  <si>
    <r>
      <t>Ángulo en el Polo (2)=</t>
    </r>
    <r>
      <rPr>
        <sz val="11"/>
        <color theme="1"/>
        <rFont val="Calibri"/>
        <family val="2"/>
      </rPr>
      <t>₡2=</t>
    </r>
  </si>
  <si>
    <t>Longitud(2) Buque=</t>
  </si>
  <si>
    <t>Ángulo</t>
  </si>
  <si>
    <t>COS</t>
  </si>
  <si>
    <t>SEN</t>
  </si>
  <si>
    <t>TG</t>
  </si>
  <si>
    <t>ACOS</t>
  </si>
  <si>
    <t>ASEN</t>
  </si>
  <si>
    <t>ATAN</t>
  </si>
  <si>
    <t>Lado Esférico (b)</t>
  </si>
  <si>
    <t>Ángulo Esférico (A)</t>
  </si>
  <si>
    <t>Ángulo Esférico (B)</t>
  </si>
  <si>
    <r>
      <t>CASO PARTICULAR EN QUE LOS ÁNGULOS DE LOS GONIOS ENTREGUEN ÁNGULOS IGUALES AL TRIÁNGULO ESFÉRICO (A=B</t>
    </r>
    <r>
      <rPr>
        <sz val="11"/>
        <color rgb="FFFF0000"/>
        <rFont val="Calibri"/>
        <family val="2"/>
      </rPr>
      <t>#90⁰</t>
    </r>
    <r>
      <rPr>
        <sz val="11"/>
        <color rgb="FFFF0000"/>
        <rFont val="Calibri"/>
        <family val="2"/>
        <scheme val="minor"/>
      </rPr>
      <t>)</t>
    </r>
  </si>
  <si>
    <t>DEMORA GONIO ESTACIÓN</t>
  </si>
  <si>
    <t>DEMORA GONIO BUQUE</t>
  </si>
  <si>
    <t>Componente desde donde reciben la señal. Ángulo contado de N a S,al E o W.</t>
  </si>
  <si>
    <t>GRADOScos</t>
  </si>
  <si>
    <t>GRADOsen</t>
  </si>
  <si>
    <t>GRADOtg</t>
  </si>
  <si>
    <t>Cálculos para solución 1</t>
  </si>
  <si>
    <t>Cálculos para solución 2</t>
  </si>
  <si>
    <t>N</t>
  </si>
  <si>
    <t>W</t>
  </si>
  <si>
    <t>Segunda Analogía de Neper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</si>
</sst>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
  </numFmts>
  <fonts count="8" x14ac:knownFonts="1">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sz val="11"/>
      <color rgb="FF0070C0"/>
      <name val="Calibri"/>
      <family val="2"/>
      <scheme val="minor"/>
    </font>
    <font>
      <sz val="11"/>
      <color theme="1"/>
      <name val="Calibri"/>
      <family val="2"/>
    </font>
    <font>
      <sz val="11"/>
      <name val="Calibri"/>
      <family val="2"/>
      <scheme val="minor"/>
    </font>
    <font>
      <sz val="11"/>
      <color rgb="FFFF0000"/>
      <name val="Calibri"/>
      <family val="2"/>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B0F0"/>
        <bgColor indexed="64"/>
      </patternFill>
    </fill>
    <fill>
      <patternFill patternType="solid">
        <fgColor theme="4" tint="0.59996337778862885"/>
        <bgColor indexed="64"/>
      </patternFill>
    </fill>
    <fill>
      <patternFill patternType="lightGrid">
        <fgColor rgb="FFFFFF00"/>
        <bgColor rgb="FFFFC000"/>
      </patternFill>
    </fill>
    <fill>
      <patternFill patternType="lightGrid">
        <fgColor rgb="FFFFC000"/>
        <bgColor rgb="FFFFC000"/>
      </patternFill>
    </fill>
    <fill>
      <patternFill patternType="solid">
        <fgColor rgb="FFFFC000"/>
        <bgColor indexed="64"/>
      </patternFill>
    </fill>
  </fills>
  <borders count="5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medium">
        <color auto="1"/>
      </right>
      <top style="thick">
        <color auto="1"/>
      </top>
      <bottom style="thick">
        <color auto="1"/>
      </bottom>
      <diagonal/>
    </border>
    <border>
      <left style="medium">
        <color auto="1"/>
      </left>
      <right style="thick">
        <color auto="1"/>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medium">
        <color auto="1"/>
      </left>
      <right style="medium">
        <color auto="1"/>
      </right>
      <top style="thick">
        <color auto="1"/>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medium">
        <color auto="1"/>
      </left>
      <right/>
      <top style="thick">
        <color auto="1"/>
      </top>
      <bottom style="thick">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ck">
        <color rgb="FFFFFF00"/>
      </left>
      <right/>
      <top style="thick">
        <color rgb="FFFFFF00"/>
      </top>
      <bottom style="thick">
        <color rgb="FFFFFF00"/>
      </bottom>
      <diagonal/>
    </border>
    <border>
      <left/>
      <right/>
      <top style="thick">
        <color rgb="FFFFFF00"/>
      </top>
      <bottom style="thick">
        <color rgb="FFFFFF00"/>
      </bottom>
      <diagonal/>
    </border>
    <border>
      <left/>
      <right style="thick">
        <color rgb="FFFFFF00"/>
      </right>
      <top style="thick">
        <color rgb="FFFFFF00"/>
      </top>
      <bottom style="thick">
        <color rgb="FFFFFF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88">
    <xf numFmtId="0" fontId="0" fillId="0" borderId="0" xfId="0"/>
    <xf numFmtId="0" fontId="0" fillId="0" borderId="0" xfId="0" applyFill="1"/>
    <xf numFmtId="2" fontId="0" fillId="0" borderId="0" xfId="0" applyNumberFormat="1"/>
    <xf numFmtId="0" fontId="0" fillId="2" borderId="0" xfId="0" applyFill="1"/>
    <xf numFmtId="0" fontId="5" fillId="0" borderId="0" xfId="0" applyFont="1"/>
    <xf numFmtId="0" fontId="0" fillId="7" borderId="0" xfId="0" applyFill="1"/>
    <xf numFmtId="0" fontId="5" fillId="7" borderId="4" xfId="0" applyFont="1" applyFill="1" applyBorder="1" applyAlignment="1">
      <alignment horizontal="right"/>
    </xf>
    <xf numFmtId="0" fontId="0" fillId="7" borderId="5" xfId="0" applyFill="1" applyBorder="1"/>
    <xf numFmtId="0" fontId="0" fillId="8" borderId="0" xfId="0" applyFill="1"/>
    <xf numFmtId="165" fontId="0" fillId="8" borderId="0" xfId="0" applyNumberFormat="1" applyFill="1"/>
    <xf numFmtId="0" fontId="0" fillId="0" borderId="0" xfId="0" applyNumberFormat="1"/>
    <xf numFmtId="165" fontId="0" fillId="7" borderId="0" xfId="0" applyNumberFormat="1" applyFill="1"/>
    <xf numFmtId="0" fontId="0" fillId="3" borderId="6" xfId="0" applyFill="1" applyBorder="1"/>
    <xf numFmtId="0" fontId="0" fillId="3" borderId="7" xfId="0" applyFill="1" applyBorder="1"/>
    <xf numFmtId="0" fontId="0" fillId="3" borderId="9" xfId="0" applyFill="1" applyBorder="1"/>
    <xf numFmtId="0" fontId="0" fillId="3" borderId="10" xfId="0" applyFill="1" applyBorder="1"/>
    <xf numFmtId="0" fontId="0" fillId="0" borderId="11" xfId="0" applyBorder="1"/>
    <xf numFmtId="0" fontId="0" fillId="3" borderId="4" xfId="0" applyFill="1" applyBorder="1"/>
    <xf numFmtId="0" fontId="0" fillId="3" borderId="12" xfId="0" applyFill="1" applyBorder="1"/>
    <xf numFmtId="0" fontId="0" fillId="2" borderId="13" xfId="0" applyFill="1" applyBorder="1"/>
    <xf numFmtId="0" fontId="0" fillId="2" borderId="15" xfId="0" applyFill="1" applyBorder="1"/>
    <xf numFmtId="0" fontId="0" fillId="2" borderId="14" xfId="0" applyFill="1" applyBorder="1"/>
    <xf numFmtId="0" fontId="0" fillId="0" borderId="16" xfId="0" applyBorder="1"/>
    <xf numFmtId="0" fontId="0" fillId="0" borderId="22" xfId="0" applyBorder="1" applyAlignment="1">
      <alignment horizontal="right"/>
    </xf>
    <xf numFmtId="0" fontId="0" fillId="0" borderId="23" xfId="0" applyBorder="1" applyAlignment="1">
      <alignment horizontal="right"/>
    </xf>
    <xf numFmtId="0" fontId="0" fillId="0" borderId="3" xfId="0" applyBorder="1"/>
    <xf numFmtId="0" fontId="0" fillId="6" borderId="24" xfId="0" applyFill="1" applyBorder="1"/>
    <xf numFmtId="0" fontId="0" fillId="0" borderId="25" xfId="0" applyBorder="1"/>
    <xf numFmtId="0" fontId="0" fillId="6" borderId="24" xfId="0" applyFill="1" applyBorder="1" applyAlignment="1">
      <alignment horizontal="right"/>
    </xf>
    <xf numFmtId="164" fontId="0" fillId="0" borderId="25" xfId="0" applyNumberFormat="1" applyBorder="1"/>
    <xf numFmtId="0" fontId="0" fillId="4" borderId="13" xfId="0" applyFont="1" applyFill="1" applyBorder="1"/>
    <xf numFmtId="0" fontId="6" fillId="0" borderId="0" xfId="0" applyFont="1"/>
    <xf numFmtId="0" fontId="4" fillId="0" borderId="0" xfId="0" applyFont="1"/>
    <xf numFmtId="165" fontId="0" fillId="0" borderId="8" xfId="0" applyNumberFormat="1" applyBorder="1"/>
    <xf numFmtId="0" fontId="0" fillId="9" borderId="0" xfId="0" applyFill="1"/>
    <xf numFmtId="164" fontId="0" fillId="9" borderId="0" xfId="0" applyNumberFormat="1" applyFill="1"/>
    <xf numFmtId="0" fontId="1" fillId="10" borderId="0" xfId="0" applyFont="1" applyFill="1"/>
    <xf numFmtId="0" fontId="0" fillId="10" borderId="0" xfId="0" applyFill="1"/>
    <xf numFmtId="0" fontId="0" fillId="0" borderId="28"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24" xfId="0" applyBorder="1"/>
    <xf numFmtId="0" fontId="0" fillId="0" borderId="36" xfId="0" applyBorder="1"/>
    <xf numFmtId="0" fontId="0" fillId="0" borderId="37"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11" borderId="0" xfId="0" applyFill="1"/>
    <xf numFmtId="0" fontId="0" fillId="11" borderId="0" xfId="0" applyFill="1" applyAlignment="1">
      <alignment horizontal="right"/>
    </xf>
    <xf numFmtId="0" fontId="0" fillId="0" borderId="45" xfId="0" applyBorder="1"/>
    <xf numFmtId="0" fontId="0" fillId="7" borderId="28" xfId="0" applyFill="1" applyBorder="1"/>
    <xf numFmtId="0" fontId="0" fillId="7" borderId="24" xfId="0" applyFill="1" applyBorder="1"/>
    <xf numFmtId="0" fontId="0" fillId="7" borderId="34" xfId="0" applyFill="1" applyBorder="1"/>
    <xf numFmtId="0" fontId="0" fillId="7" borderId="46" xfId="0" applyFill="1" applyBorder="1"/>
    <xf numFmtId="0" fontId="0" fillId="7" borderId="47" xfId="0" applyFill="1" applyBorder="1"/>
    <xf numFmtId="0" fontId="0" fillId="7" borderId="35" xfId="0" applyFill="1" applyBorder="1"/>
    <xf numFmtId="0" fontId="0" fillId="7" borderId="48" xfId="0" applyFill="1" applyBorder="1"/>
    <xf numFmtId="0" fontId="0" fillId="7" borderId="49" xfId="0" applyFill="1" applyBorder="1"/>
    <xf numFmtId="0" fontId="0" fillId="0" borderId="26" xfId="0" applyBorder="1"/>
    <xf numFmtId="0" fontId="0" fillId="0" borderId="27" xfId="0" applyBorder="1"/>
    <xf numFmtId="0" fontId="0" fillId="11" borderId="0" xfId="0" applyNumberFormat="1" applyFill="1"/>
    <xf numFmtId="0" fontId="0" fillId="2" borderId="0" xfId="0" applyNumberFormat="1" applyFill="1"/>
    <xf numFmtId="0" fontId="1" fillId="0" borderId="0" xfId="0" applyFont="1" applyAlignment="1">
      <alignment horizontal="center"/>
    </xf>
    <xf numFmtId="0" fontId="0" fillId="4" borderId="42" xfId="0" applyFill="1" applyBorder="1" applyAlignment="1">
      <alignment horizontal="center"/>
    </xf>
    <xf numFmtId="0" fontId="0" fillId="4" borderId="43" xfId="0" applyFill="1" applyBorder="1" applyAlignment="1">
      <alignment horizontal="center"/>
    </xf>
    <xf numFmtId="0" fontId="0" fillId="4" borderId="44" xfId="0" applyFill="1" applyBorder="1" applyAlignment="1">
      <alignment horizontal="center"/>
    </xf>
    <xf numFmtId="0" fontId="0" fillId="0" borderId="0" xfId="0" applyAlignment="1">
      <alignment horizontal="left"/>
    </xf>
    <xf numFmtId="0" fontId="0" fillId="3" borderId="29" xfId="0" applyFill="1" applyBorder="1" applyAlignment="1">
      <alignment horizontal="center"/>
    </xf>
    <xf numFmtId="0" fontId="0" fillId="3" borderId="30" xfId="0" applyFill="1" applyBorder="1" applyAlignment="1">
      <alignment horizontal="center"/>
    </xf>
    <xf numFmtId="0" fontId="0" fillId="3" borderId="31" xfId="0" applyFill="1" applyBorder="1" applyAlignment="1">
      <alignment horizontal="center"/>
    </xf>
    <xf numFmtId="0" fontId="1" fillId="2" borderId="0" xfId="0" applyFont="1" applyFill="1" applyAlignment="1">
      <alignment horizontal="center"/>
    </xf>
    <xf numFmtId="0" fontId="0" fillId="4" borderId="1" xfId="0" applyFill="1" applyBorder="1" applyAlignment="1">
      <alignment horizontal="center"/>
    </xf>
    <xf numFmtId="0" fontId="0" fillId="4" borderId="17" xfId="0" applyFill="1" applyBorder="1" applyAlignment="1">
      <alignment horizontal="center"/>
    </xf>
    <xf numFmtId="0" fontId="0" fillId="4" borderId="18" xfId="0" applyFill="1" applyBorder="1" applyAlignment="1">
      <alignment horizontal="center"/>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0" fillId="7" borderId="0" xfId="0" applyFill="1" applyAlignment="1">
      <alignment horizontal="right"/>
    </xf>
    <xf numFmtId="0" fontId="0" fillId="0" borderId="0" xfId="0" applyAlignment="1">
      <alignment horizontal="right"/>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cellXfs>
  <cellStyles count="1">
    <cellStyle name="Normal" xfId="0" builtinId="0"/>
  </cellStyles>
  <dxfs count="13">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bgColor rgb="FFFF0000"/>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6</xdr:col>
      <xdr:colOff>161926</xdr:colOff>
      <xdr:row>7</xdr:row>
      <xdr:rowOff>54552</xdr:rowOff>
    </xdr:from>
    <xdr:to>
      <xdr:col>11</xdr:col>
      <xdr:colOff>676275</xdr:colOff>
      <xdr:row>10</xdr:row>
      <xdr:rowOff>1568</xdr:rowOff>
    </xdr:to>
    <xdr:pic>
      <xdr:nvPicPr>
        <xdr:cNvPr id="3" name="Imagen 2">
          <a:extLst>
            <a:ext uri="{FF2B5EF4-FFF2-40B4-BE49-F238E27FC236}">
              <a16:creationId xmlns:a16="http://schemas.microsoft.com/office/drawing/2014/main" id="{AEBFB35C-230A-40EC-8BFA-F8B0786FE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7835" y="1474643"/>
          <a:ext cx="4324349" cy="561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439883</xdr:colOff>
      <xdr:row>21</xdr:row>
      <xdr:rowOff>32039</xdr:rowOff>
    </xdr:from>
    <xdr:to>
      <xdr:col>14</xdr:col>
      <xdr:colOff>211282</xdr:colOff>
      <xdr:row>26</xdr:row>
      <xdr:rowOff>168230</xdr:rowOff>
    </xdr:to>
    <xdr:pic>
      <xdr:nvPicPr>
        <xdr:cNvPr id="8" name="Imagen 7">
          <a:extLst>
            <a:ext uri="{FF2B5EF4-FFF2-40B4-BE49-F238E27FC236}">
              <a16:creationId xmlns:a16="http://schemas.microsoft.com/office/drawing/2014/main" id="{D5FDA7CD-24CD-4D42-A478-34424AC602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3792" y="4231698"/>
          <a:ext cx="2819399" cy="1114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361950</xdr:colOff>
      <xdr:row>17</xdr:row>
      <xdr:rowOff>104775</xdr:rowOff>
    </xdr:from>
    <xdr:to>
      <xdr:col>12</xdr:col>
      <xdr:colOff>466725</xdr:colOff>
      <xdr:row>19</xdr:row>
      <xdr:rowOff>28575</xdr:rowOff>
    </xdr:to>
    <xdr:pic>
      <xdr:nvPicPr>
        <xdr:cNvPr id="10" name="Imagen 9">
          <a:extLst>
            <a:ext uri="{FF2B5EF4-FFF2-40B4-BE49-F238E27FC236}">
              <a16:creationId xmlns:a16="http://schemas.microsoft.com/office/drawing/2014/main" id="{B525FA2F-FF59-4C7E-9828-EB91C9BCE6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10525" y="3352800"/>
          <a:ext cx="16287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357187</xdr:colOff>
      <xdr:row>33</xdr:row>
      <xdr:rowOff>11907</xdr:rowOff>
    </xdr:from>
    <xdr:to>
      <xdr:col>13</xdr:col>
      <xdr:colOff>652462</xdr:colOff>
      <xdr:row>36</xdr:row>
      <xdr:rowOff>126207</xdr:rowOff>
    </xdr:to>
    <xdr:pic>
      <xdr:nvPicPr>
        <xdr:cNvPr id="6" name="Imagen 5">
          <a:extLst>
            <a:ext uri="{FF2B5EF4-FFF2-40B4-BE49-F238E27FC236}">
              <a16:creationId xmlns:a16="http://schemas.microsoft.com/office/drawing/2014/main" id="{FEC16F42-27F4-4F82-878A-5669C218C18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084343" y="6619876"/>
          <a:ext cx="2581275"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428625</xdr:colOff>
      <xdr:row>34</xdr:row>
      <xdr:rowOff>23812</xdr:rowOff>
    </xdr:from>
    <xdr:to>
      <xdr:col>10</xdr:col>
      <xdr:colOff>152400</xdr:colOff>
      <xdr:row>35</xdr:row>
      <xdr:rowOff>147637</xdr:rowOff>
    </xdr:to>
    <xdr:pic>
      <xdr:nvPicPr>
        <xdr:cNvPr id="9" name="Imagen 8">
          <a:extLst>
            <a:ext uri="{FF2B5EF4-FFF2-40B4-BE49-F238E27FC236}">
              <a16:creationId xmlns:a16="http://schemas.microsoft.com/office/drawing/2014/main" id="{DB194FFE-DD74-4273-9C22-61CEA99BDF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31781" y="6822281"/>
          <a:ext cx="124777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8D7362-BD66-4A6C-98AC-1FD4A51A5416}" name="Tabla3" displayName="Tabla3" ref="B3:K76" totalsRowShown="0">
  <autoFilter ref="B3:K76" xr:uid="{A8EE2F7B-680A-4E07-A34E-EFA292CD1D1E}"/>
  <tableColumns count="10">
    <tableColumn id="1" xr3:uid="{86CFC3C5-ED42-44E5-88AD-E249BE5FF48B}" name="Ángulo">
      <calculatedColumnFormula>B3-10</calculatedColumnFormula>
    </tableColumn>
    <tableColumn id="2" xr3:uid="{8641D4BE-A868-43AB-AE89-4569CF7A8CB4}" name="COS" dataDxfId="8">
      <calculatedColumnFormula>COS(RADIANS(Tabla3[[#This Row],[Ángulo]]))</calculatedColumnFormula>
    </tableColumn>
    <tableColumn id="3" xr3:uid="{3B7D956C-7827-465B-8900-339E1FB9639D}" name="SEN" dataDxfId="7">
      <calculatedColumnFormula>SIN(RADIANS(Tabla3[[#This Row],[Ángulo]]))</calculatedColumnFormula>
    </tableColumn>
    <tableColumn id="4" xr3:uid="{4E8A74EF-D2D8-497A-8FA3-19F1372DC5B7}" name="TG" dataDxfId="6">
      <calculatedColumnFormula>TAN(RADIANS(Tabla3[[#This Row],[Ángulo]]))</calculatedColumnFormula>
    </tableColumn>
    <tableColumn id="5" xr3:uid="{BBC6BC9C-7FB7-4F07-BB64-EB896996B94A}" name="ACOS" dataDxfId="5">
      <calculatedColumnFormula>ACOS(Tabla3[[#This Row],[COS]])</calculatedColumnFormula>
    </tableColumn>
    <tableColumn id="8" xr3:uid="{01DB34CC-A339-4A8F-95BA-6D8DF17C4232}" name="GRADOScos" dataDxfId="4">
      <calculatedColumnFormula>DEGREES(Tabla3[[#This Row],[ACOS]])</calculatedColumnFormula>
    </tableColumn>
    <tableColumn id="6" xr3:uid="{1F7FE2F1-049B-4BC5-BE5F-301DB2456E30}" name="ASEN" dataDxfId="3">
      <calculatedColumnFormula>ASIN(Tabla3[[#This Row],[SEN]])</calculatedColumnFormula>
    </tableColumn>
    <tableColumn id="9" xr3:uid="{64C33ED0-AF92-4E63-B3A6-7C0A50C46078}" name="GRADOsen" dataDxfId="2">
      <calculatedColumnFormula>DEGREES(Tabla3[[#This Row],[ASEN]])</calculatedColumnFormula>
    </tableColumn>
    <tableColumn id="7" xr3:uid="{FA0F1608-7735-452E-8F84-16D752D481E8}" name="ATAN" dataDxfId="1">
      <calculatedColumnFormula>ATAN(Tabla3[[#This Row],[TG]])</calculatedColumnFormula>
    </tableColumn>
    <tableColumn id="10" xr3:uid="{30E87443-825D-4CFD-A9F9-55C318C88AEE}" name="GRADOtg" dataDxfId="0">
      <calculatedColumnFormula>DEGREES(Tabla3[[#This Row],[ATAN]])</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28"/>
  <sheetViews>
    <sheetView tabSelected="1" topLeftCell="A2" zoomScaleNormal="100" workbookViewId="0">
      <selection activeCell="C17" sqref="C17"/>
    </sheetView>
  </sheetViews>
  <sheetFormatPr baseColWidth="10" defaultColWidth="9.140625" defaultRowHeight="15" x14ac:dyDescent="0.25"/>
  <cols>
    <col min="2" max="2" width="9.140625" customWidth="1"/>
    <col min="6" max="6" width="9.5703125" bestFit="1" customWidth="1"/>
  </cols>
  <sheetData>
    <row r="2" spans="1:18" s="3" customFormat="1" x14ac:dyDescent="0.25">
      <c r="A2" s="73" t="s">
        <v>6</v>
      </c>
      <c r="B2" s="73"/>
      <c r="C2" s="73"/>
    </row>
    <row r="3" spans="1:18" ht="15.75" thickBot="1" x14ac:dyDescent="0.3"/>
    <row r="4" spans="1:18" ht="15.75" thickBot="1" x14ac:dyDescent="0.3">
      <c r="I4" s="77" t="s">
        <v>13</v>
      </c>
      <c r="J4" s="78"/>
      <c r="K4" s="78"/>
      <c r="L4" s="78"/>
      <c r="M4" s="78"/>
      <c r="N4" s="78"/>
      <c r="O4" s="78"/>
      <c r="P4" s="78"/>
      <c r="Q4" s="78"/>
      <c r="R4" s="79"/>
    </row>
    <row r="5" spans="1:18" x14ac:dyDescent="0.25">
      <c r="B5" s="70" t="s">
        <v>0</v>
      </c>
      <c r="C5" s="71"/>
      <c r="D5" s="72"/>
    </row>
    <row r="6" spans="1:18" ht="15.75" thickBot="1" x14ac:dyDescent="0.3">
      <c r="B6" s="39"/>
      <c r="C6" s="38" t="s">
        <v>3</v>
      </c>
      <c r="D6" s="40" t="s">
        <v>4</v>
      </c>
      <c r="E6" t="s">
        <v>5</v>
      </c>
      <c r="H6" s="69" t="s">
        <v>45</v>
      </c>
      <c r="I6" s="69"/>
    </row>
    <row r="7" spans="1:18" x14ac:dyDescent="0.25">
      <c r="B7" s="39" t="s">
        <v>2</v>
      </c>
      <c r="C7" s="53">
        <v>20</v>
      </c>
      <c r="D7" s="54">
        <v>30</v>
      </c>
      <c r="E7" s="55" t="s">
        <v>57</v>
      </c>
      <c r="F7">
        <f>ABS(C7)+ABS(D7/60)</f>
        <v>20.5</v>
      </c>
      <c r="H7">
        <f>IF(E7="N",90-F7,F7+90)</f>
        <v>69.5</v>
      </c>
    </row>
    <row r="8" spans="1:18" ht="15.75" thickBot="1" x14ac:dyDescent="0.3">
      <c r="B8" s="52" t="s">
        <v>1</v>
      </c>
      <c r="C8" s="56">
        <v>5</v>
      </c>
      <c r="D8" s="57">
        <v>30</v>
      </c>
      <c r="E8" s="58" t="s">
        <v>58</v>
      </c>
    </row>
    <row r="9" spans="1:18" ht="15.75" thickBot="1" x14ac:dyDescent="0.3"/>
    <row r="10" spans="1:18" ht="15.75" thickBot="1" x14ac:dyDescent="0.3">
      <c r="B10" s="74" t="s">
        <v>49</v>
      </c>
      <c r="C10" s="75"/>
      <c r="D10" s="76"/>
    </row>
    <row r="11" spans="1:18" ht="15.75" thickBot="1" x14ac:dyDescent="0.3">
      <c r="C11" s="61" t="s">
        <v>3</v>
      </c>
      <c r="D11" s="62" t="s">
        <v>4</v>
      </c>
      <c r="F11" t="s">
        <v>11</v>
      </c>
      <c r="H11" t="s">
        <v>46</v>
      </c>
    </row>
    <row r="12" spans="1:18" ht="15.75" thickBot="1" x14ac:dyDescent="0.3">
      <c r="C12" s="59">
        <v>290</v>
      </c>
      <c r="D12" s="60">
        <v>54</v>
      </c>
      <c r="F12">
        <f>RADIANS(ABS(C12)+ABS(D12)/60)</f>
        <v>5.0771627940515041</v>
      </c>
      <c r="H12">
        <f>IF(F12&lt;PI(),F12,2*PI()-F12)</f>
        <v>1.2060225131280822</v>
      </c>
      <c r="I12" t="str">
        <f>IF(F12&lt;PI(),"E","W")</f>
        <v>W</v>
      </c>
    </row>
    <row r="13" spans="1:18" ht="15.75" thickBot="1" x14ac:dyDescent="0.3">
      <c r="H13" s="2">
        <f>DEGREES(H12)</f>
        <v>69.100000000000023</v>
      </c>
    </row>
    <row r="14" spans="1:18" ht="15.75" thickBot="1" x14ac:dyDescent="0.3">
      <c r="B14" s="74" t="s">
        <v>50</v>
      </c>
      <c r="C14" s="75"/>
      <c r="D14" s="76"/>
    </row>
    <row r="15" spans="1:18" ht="15.75" thickBot="1" x14ac:dyDescent="0.3">
      <c r="C15" s="61" t="s">
        <v>3</v>
      </c>
      <c r="D15" s="62" t="s">
        <v>4</v>
      </c>
      <c r="F15" t="s">
        <v>11</v>
      </c>
      <c r="H15" t="s">
        <v>47</v>
      </c>
    </row>
    <row r="16" spans="1:18" ht="15.75" thickBot="1" x14ac:dyDescent="0.3">
      <c r="C16" s="59">
        <v>69</v>
      </c>
      <c r="D16" s="60">
        <v>0</v>
      </c>
      <c r="F16">
        <f t="shared" ref="F16" si="0">RADIANS(ABS(C16)+ABS(D16/60))</f>
        <v>1.2042771838760873</v>
      </c>
      <c r="H16">
        <f t="shared" ref="H16" si="1">IF(F16&lt;PI(),F16,2*PI()-F16)</f>
        <v>1.2042771838760873</v>
      </c>
      <c r="I16" t="str">
        <f t="shared" ref="I16" si="2">IF(F16&lt;PI(),"E","W")</f>
        <v>E</v>
      </c>
    </row>
    <row r="17" spans="1:10" x14ac:dyDescent="0.25">
      <c r="H17">
        <f>DEGREES(H16)</f>
        <v>69</v>
      </c>
    </row>
    <row r="18" spans="1:10" s="3" customFormat="1" x14ac:dyDescent="0.25">
      <c r="A18" s="73" t="s">
        <v>7</v>
      </c>
      <c r="B18" s="73"/>
      <c r="C18" s="73"/>
    </row>
    <row r="19" spans="1:10" ht="15.75" thickBot="1" x14ac:dyDescent="0.3"/>
    <row r="20" spans="1:10" x14ac:dyDescent="0.25">
      <c r="B20" s="70" t="s">
        <v>24</v>
      </c>
      <c r="C20" s="71"/>
      <c r="D20" s="72"/>
      <c r="G20" s="70" t="s">
        <v>25</v>
      </c>
      <c r="H20" s="71"/>
      <c r="I20" s="72"/>
    </row>
    <row r="21" spans="1:10" ht="15.75" thickBot="1" x14ac:dyDescent="0.3">
      <c r="B21" s="39"/>
      <c r="C21" s="38" t="s">
        <v>3</v>
      </c>
      <c r="D21" s="40" t="s">
        <v>4</v>
      </c>
      <c r="G21" s="39"/>
      <c r="H21" s="38" t="s">
        <v>3</v>
      </c>
      <c r="I21" s="40" t="s">
        <v>4</v>
      </c>
    </row>
    <row r="22" spans="1:10" x14ac:dyDescent="0.25">
      <c r="B22" s="39" t="s">
        <v>2</v>
      </c>
      <c r="C22" s="38">
        <f>TRUNC(Operaciones!D14)</f>
        <v>20</v>
      </c>
      <c r="D22" s="40">
        <f>(Operaciones!D14-'Datos-Resultado'!C22)*60</f>
        <v>23.839092634121073</v>
      </c>
      <c r="E22" s="44" t="str">
        <f>Operaciones!E14</f>
        <v>N</v>
      </c>
      <c r="G22" s="39" t="s">
        <v>2</v>
      </c>
      <c r="H22" s="38">
        <f>TRUNC(Operaciones!J14)</f>
        <v>20</v>
      </c>
      <c r="I22" s="43">
        <f>(Operaciones!J14-'Datos-Resultado'!H22)*60</f>
        <v>23.839092634121073</v>
      </c>
      <c r="J22" s="41" t="str">
        <f>Operaciones!K14</f>
        <v>S</v>
      </c>
    </row>
    <row r="23" spans="1:10" ht="15.75" thickBot="1" x14ac:dyDescent="0.3">
      <c r="B23" s="45" t="s">
        <v>1</v>
      </c>
      <c r="C23" s="46">
        <f>ABS(TRUNC(Operaciones!H22))</f>
        <v>100</v>
      </c>
      <c r="D23" s="47">
        <f>(ABS(Operaciones!H22)-'Datos-Resultado'!C23)*60</f>
        <v>44.292302693639272</v>
      </c>
      <c r="E23" s="48" t="str">
        <f>IF(Operaciones!H22&gt;0,"W","E")</f>
        <v>W</v>
      </c>
      <c r="G23" s="45" t="s">
        <v>26</v>
      </c>
      <c r="H23" s="46">
        <f>ABS(TRUNC(Operaciones!H30))</f>
        <v>174</v>
      </c>
      <c r="I23" s="49">
        <f>(ABS(Operaciones!H30)-'Datos-Resultado'!H23)*60</f>
        <v>47.173833965598533</v>
      </c>
      <c r="J23" s="42" t="str">
        <f>IF(Operaciones!H30&gt;0,"W","E")</f>
        <v>E</v>
      </c>
    </row>
    <row r="24" spans="1:10" ht="16.5" thickTop="1" thickBot="1" x14ac:dyDescent="0.3">
      <c r="B24" s="66" t="str">
        <f>IF(Operaciones!E9=Operaciones!D12,"LA POSICIÓN DEL BUQUE ES LA (1)",IF(Operaciones!E9=Operaciones!J12,"LA POSICIÓN DEL BUQUE ES LA  (2)",IF(Operaciones!E9="DOS SOL","DOS POSIBLES SOLUCIONES MATEMÁTICAS, DESCARTAR CON LA ESTIMADA","REVISAR DATOS, ALGO ERRONEO")))</f>
        <v>DOS POSIBLES SOLUCIONES MATEMÁTICAS, DESCARTAR CON LA ESTIMADA</v>
      </c>
      <c r="C24" s="67"/>
      <c r="D24" s="67"/>
      <c r="E24" s="67"/>
      <c r="F24" s="67"/>
      <c r="G24" s="67"/>
      <c r="H24" s="67"/>
      <c r="I24" s="68"/>
    </row>
    <row r="25" spans="1:10" ht="15.75" thickTop="1" x14ac:dyDescent="0.25">
      <c r="B25" s="65" t="str">
        <f>IF(Operaciones!D5=Operaciones!D7,"CASO PARTICULAR ÁNGULOS ESFÉRICOS IGUALES, POSICIÓN SIGUIENTE","")</f>
        <v/>
      </c>
      <c r="C25" s="65"/>
      <c r="D25" s="65"/>
      <c r="E25" s="65"/>
      <c r="F25" s="65"/>
      <c r="G25" s="65"/>
      <c r="H25" s="65"/>
      <c r="I25" s="65"/>
    </row>
    <row r="27" spans="1:10" x14ac:dyDescent="0.25">
      <c r="D27" s="34" t="str">
        <f>IF(Operaciones!D5=Operaciones!D7,"Latitud","")</f>
        <v/>
      </c>
      <c r="E27" s="34" t="str">
        <f>IF(Operaciones!D5=Operaciones!D7,C22,"")</f>
        <v/>
      </c>
      <c r="F27" s="34" t="str">
        <f>IF(Operaciones!D5=Operaciones!D7,D22,"")</f>
        <v/>
      </c>
      <c r="G27" s="34" t="str">
        <f>IF(Operaciones!D5=Operaciones!D7,E22,"")</f>
        <v/>
      </c>
    </row>
    <row r="28" spans="1:10" x14ac:dyDescent="0.25">
      <c r="D28" s="34" t="str">
        <f>IF(Operaciones!D5=Operaciones!D7,"Longitud","")</f>
        <v/>
      </c>
      <c r="E28" s="34" t="str">
        <f>IF(Operaciones!D5=Operaciones!D7,ABS(TRUNC(Operaciones!G36)),"")</f>
        <v/>
      </c>
      <c r="F28" s="35" t="str">
        <f>IF(Operaciones!D5=Operaciones!D7,(ABS(ABS(Operaciones!G36)-'Datos-Resultado'!E28))*60,"")</f>
        <v/>
      </c>
      <c r="G28" s="34" t="str">
        <f>IF(Operaciones!D5=Operaciones!D7,IF(Operaciones!G36&gt;0,"W","E"),"")</f>
        <v/>
      </c>
    </row>
  </sheetData>
  <mergeCells count="11">
    <mergeCell ref="B25:I25"/>
    <mergeCell ref="B24:I24"/>
    <mergeCell ref="H6:I6"/>
    <mergeCell ref="B20:D20"/>
    <mergeCell ref="A2:C2"/>
    <mergeCell ref="B5:D5"/>
    <mergeCell ref="B10:D10"/>
    <mergeCell ref="B14:D14"/>
    <mergeCell ref="A18:C18"/>
    <mergeCell ref="I4:R4"/>
    <mergeCell ref="G20:I20"/>
  </mergeCells>
  <conditionalFormatting sqref="C22:E23 H22:J23">
    <cfRule type="expression" dxfId="12" priority="1">
      <formula>$H$13=$H$17</formula>
    </cfRule>
  </conditionalFormatting>
  <dataValidations count="2">
    <dataValidation type="list" allowBlank="1" showInputMessage="1" showErrorMessage="1" sqref="E7" xr:uid="{483B756D-B785-4705-BB87-E5E7A8924697}">
      <formula1>"N,S"</formula1>
    </dataValidation>
    <dataValidation type="list" allowBlank="1" showInputMessage="1" showErrorMessage="1" sqref="E8" xr:uid="{AA856E32-1BC6-4D2B-8AD5-1F019B732FF9}">
      <formula1>"W,E"</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4" id="{99C38C28-0686-46A6-BF58-90AA0F181008}">
            <xm:f>Operaciones!$E$9=Operaciones!$F$10</xm:f>
            <x14:dxf>
              <fill>
                <patternFill>
                  <bgColor theme="1"/>
                </patternFill>
              </fill>
            </x14:dxf>
          </x14:cfRule>
          <xm:sqref>C22:E23</xm:sqref>
        </x14:conditionalFormatting>
        <x14:conditionalFormatting xmlns:xm="http://schemas.microsoft.com/office/excel/2006/main">
          <x14:cfRule type="expression" priority="3" id="{6199CA28-6D29-41AD-A264-D43628F6814B}">
            <xm:f>Operaciones!$E$9=Operaciones!$D$10</xm:f>
            <x14:dxf>
              <fill>
                <patternFill>
                  <bgColor theme="1"/>
                </patternFill>
              </fill>
            </x14:dxf>
          </x14:cfRule>
          <xm:sqref>H22:J23</xm:sqref>
        </x14:conditionalFormatting>
        <x14:conditionalFormatting xmlns:xm="http://schemas.microsoft.com/office/excel/2006/main">
          <x14:cfRule type="expression" priority="2" id="{B83817BD-0F14-422F-AD6F-0C6ADED4186A}">
            <xm:f>Operaciones!$E$9="ERROR"</xm:f>
            <x14:dxf>
              <fill>
                <patternFill>
                  <bgColor rgb="FFFF0000"/>
                </patternFill>
              </fill>
            </x14:dxf>
          </x14:cfRule>
          <xm:sqref>C22:E23 H22:J23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342BA-01B8-4851-B24A-E7446DA43C67}">
  <dimension ref="B1:L37"/>
  <sheetViews>
    <sheetView topLeftCell="A15" zoomScale="110" zoomScaleNormal="110" workbookViewId="0">
      <selection activeCell="L28" sqref="L28"/>
    </sheetView>
  </sheetViews>
  <sheetFormatPr baseColWidth="10" defaultRowHeight="15" x14ac:dyDescent="0.25"/>
  <cols>
    <col min="4" max="4" width="13" customWidth="1"/>
  </cols>
  <sheetData>
    <row r="1" spans="2:12" ht="15.75" thickBot="1" x14ac:dyDescent="0.3"/>
    <row r="2" spans="2:12" ht="16.5" thickTop="1" thickBot="1" x14ac:dyDescent="0.3">
      <c r="B2" s="12" t="s">
        <v>12</v>
      </c>
      <c r="C2" s="13"/>
      <c r="D2" s="33">
        <f>RADIANS('Datos-Resultado'!H7)</f>
        <v>1.2130038301360591</v>
      </c>
      <c r="F2" s="1">
        <f>DEGREES(D2)</f>
        <v>69.5</v>
      </c>
      <c r="G2" s="1"/>
      <c r="H2" s="1"/>
      <c r="I2" s="1" t="s">
        <v>14</v>
      </c>
      <c r="J2">
        <f>SIN(D2)</f>
        <v>0.93667218924839757</v>
      </c>
    </row>
    <row r="3" spans="2:12" ht="15.75" thickBot="1" x14ac:dyDescent="0.3">
      <c r="B3" s="14" t="s">
        <v>8</v>
      </c>
      <c r="C3" s="15"/>
      <c r="D3" s="16">
        <f>RADIANS(ABS('Datos-Resultado'!C8)+ABS('Datos-Resultado'!D8/60))*IF('Datos-Resultado'!E8="W",1,-1)</f>
        <v>9.599310885968812E-2</v>
      </c>
    </row>
    <row r="4" spans="2:12" ht="16.5" thickTop="1" thickBot="1" x14ac:dyDescent="0.3"/>
    <row r="5" spans="2:12" ht="15" customHeight="1" thickTop="1" thickBot="1" x14ac:dyDescent="0.3">
      <c r="B5" s="17" t="s">
        <v>9</v>
      </c>
      <c r="C5" s="18"/>
      <c r="D5" s="22">
        <f>'Datos-Resultado'!H12</f>
        <v>1.2060225131280822</v>
      </c>
      <c r="E5" s="23" t="str">
        <f>'Datos-Resultado'!I12</f>
        <v>W</v>
      </c>
      <c r="F5" s="82" t="s">
        <v>51</v>
      </c>
      <c r="G5" s="83"/>
      <c r="I5" t="s">
        <v>15</v>
      </c>
      <c r="J5">
        <f>SIN(D5)</f>
        <v>0.93420447432102971</v>
      </c>
    </row>
    <row r="6" spans="2:12" ht="16.5" thickTop="1" thickBot="1" x14ac:dyDescent="0.3">
      <c r="E6" s="25"/>
      <c r="F6" s="84"/>
      <c r="G6" s="85"/>
    </row>
    <row r="7" spans="2:12" ht="16.5" thickTop="1" thickBot="1" x14ac:dyDescent="0.3">
      <c r="B7" s="17" t="s">
        <v>10</v>
      </c>
      <c r="C7" s="18"/>
      <c r="D7" s="22">
        <f>'Datos-Resultado'!H16</f>
        <v>1.2042771838760873</v>
      </c>
      <c r="E7" s="24" t="str">
        <f>'Datos-Resultado'!I16</f>
        <v>E</v>
      </c>
      <c r="F7" s="86"/>
      <c r="G7" s="87"/>
      <c r="I7" t="s">
        <v>16</v>
      </c>
      <c r="J7">
        <f>SIN(D7)</f>
        <v>0.93358042649720174</v>
      </c>
    </row>
    <row r="8" spans="2:12" ht="16.5" thickTop="1" thickBot="1" x14ac:dyDescent="0.3"/>
    <row r="9" spans="2:12" ht="16.5" thickTop="1" thickBot="1" x14ac:dyDescent="0.3">
      <c r="D9" s="30" t="s">
        <v>28</v>
      </c>
      <c r="E9" s="21" t="str">
        <f>IF(D5&gt;D7,IF(D10&gt;D2,"DOS SOL",IF(F10&gt;D2,F10,"ERROR")),IF(D2&gt;D10,IF(D2&gt;F10,"DOS SOL",D10),"ERROR"))</f>
        <v>DOS SOL</v>
      </c>
    </row>
    <row r="10" spans="2:12" ht="15.75" thickTop="1" x14ac:dyDescent="0.25">
      <c r="B10" s="8" t="s">
        <v>23</v>
      </c>
      <c r="C10" s="8"/>
      <c r="D10" s="9">
        <f>ASIN((J2*J5)/J7)</f>
        <v>1.214795965443475</v>
      </c>
      <c r="E10" s="8"/>
      <c r="F10" s="9">
        <f>PI()-D10</f>
        <v>1.9267966881463181</v>
      </c>
    </row>
    <row r="11" spans="2:12" x14ac:dyDescent="0.25">
      <c r="F11" t="s">
        <v>3</v>
      </c>
      <c r="L11" t="s">
        <v>3</v>
      </c>
    </row>
    <row r="12" spans="2:12" x14ac:dyDescent="0.25">
      <c r="B12" s="80" t="s">
        <v>27</v>
      </c>
      <c r="C12" s="80"/>
      <c r="D12" s="11">
        <f>D10</f>
        <v>1.214795965443475</v>
      </c>
      <c r="E12" s="5"/>
      <c r="F12" s="5">
        <f>DEGREES(D12)</f>
        <v>69.602681789431315</v>
      </c>
      <c r="H12" s="80" t="s">
        <v>29</v>
      </c>
      <c r="I12" s="80"/>
      <c r="J12" s="5">
        <f>F10</f>
        <v>1.9267966881463181</v>
      </c>
      <c r="K12" s="5"/>
      <c r="L12" s="5">
        <f>DEGREES(J12)</f>
        <v>110.39731821056868</v>
      </c>
    </row>
    <row r="13" spans="2:12" ht="15.75" thickBot="1" x14ac:dyDescent="0.3"/>
    <row r="14" spans="2:12" s="3" customFormat="1" ht="16.5" thickTop="1" thickBot="1" x14ac:dyDescent="0.3">
      <c r="B14" s="19" t="s">
        <v>31</v>
      </c>
      <c r="C14" s="20"/>
      <c r="D14" s="21">
        <f>IF(F12&lt;90,90-F12,F12-90)</f>
        <v>20.397318210568685</v>
      </c>
      <c r="E14" s="3" t="str">
        <f>IF(F12&lt;90,"N","S")</f>
        <v>N</v>
      </c>
      <c r="H14" s="19" t="s">
        <v>30</v>
      </c>
      <c r="I14" s="20"/>
      <c r="J14" s="21">
        <f>IF(L12&gt;90,L12-90,90-L12)</f>
        <v>20.397318210568685</v>
      </c>
      <c r="K14" s="3" t="str">
        <f>IF(L12&gt;90,"S","N")</f>
        <v>S</v>
      </c>
    </row>
    <row r="15" spans="2:12" ht="15.75" thickTop="1" x14ac:dyDescent="0.25"/>
    <row r="16" spans="2:12" s="50" customFormat="1" x14ac:dyDescent="0.25">
      <c r="B16" s="50" t="s">
        <v>55</v>
      </c>
    </row>
    <row r="17" spans="2:12" ht="15.75" thickBot="1" x14ac:dyDescent="0.3">
      <c r="B17" s="28" t="s">
        <v>17</v>
      </c>
      <c r="C17" s="27">
        <f>(D12-D2)/2</f>
        <v>8.9606765370797703E-4</v>
      </c>
      <c r="D17" s="26" t="s">
        <v>21</v>
      </c>
      <c r="E17" s="27">
        <f>SIN(C17)</f>
        <v>8.9606753379363371E-4</v>
      </c>
    </row>
    <row r="18" spans="2:12" ht="16.5" thickTop="1" thickBot="1" x14ac:dyDescent="0.3">
      <c r="B18" s="28" t="s">
        <v>18</v>
      </c>
      <c r="C18" s="27">
        <f>(D12+D2)/2</f>
        <v>1.213899897789767</v>
      </c>
      <c r="D18" s="26" t="s">
        <v>22</v>
      </c>
      <c r="E18" s="27">
        <f>SIN(C18)</f>
        <v>0.93698562266837304</v>
      </c>
      <c r="F18">
        <f>(E17/(E18*E19))</f>
        <v>1.0958732678537904</v>
      </c>
      <c r="G18" s="4">
        <f>ATAN(F18)</f>
        <v>0.83111012586143695</v>
      </c>
      <c r="H18">
        <f>2*G18</f>
        <v>1.6622202517228739</v>
      </c>
      <c r="I18" s="6" t="s">
        <v>34</v>
      </c>
      <c r="J18" s="7">
        <f>DEGREES(H18)</f>
        <v>95.238205044893974</v>
      </c>
    </row>
    <row r="19" spans="2:12" ht="15.75" thickTop="1" x14ac:dyDescent="0.25">
      <c r="B19" s="28" t="s">
        <v>19</v>
      </c>
      <c r="C19" s="27">
        <f>(D5-D7)/2</f>
        <v>8.7266462599744354E-4</v>
      </c>
      <c r="D19" s="26" t="s">
        <v>20</v>
      </c>
      <c r="E19" s="27">
        <f>TAN(C19)</f>
        <v>8.7266484752155E-4</v>
      </c>
    </row>
    <row r="21" spans="2:12" x14ac:dyDescent="0.25">
      <c r="B21" s="80" t="s">
        <v>32</v>
      </c>
      <c r="C21" s="80"/>
      <c r="D21" s="5">
        <f>J18</f>
        <v>95.238205044893974</v>
      </c>
      <c r="F21" s="81" t="s">
        <v>33</v>
      </c>
      <c r="G21" s="81"/>
      <c r="H21">
        <f>(DEGREES(IF('Datos-Resultado'!E8='Datos-Resultado'!I12,ABS(Operaciones!D3)+ABS(Operaciones!H18),ABS(Operaciones!D3)-ABS(Operaciones!H18))))</f>
        <v>100.73820504489399</v>
      </c>
      <c r="L21" t="s">
        <v>59</v>
      </c>
    </row>
    <row r="22" spans="2:12" x14ac:dyDescent="0.25">
      <c r="H22">
        <f>(IF(ABS(H21)&gt;180,(360-ABS(H21))*SIGN(D3)*-1,H21*SIGN(D3)))</f>
        <v>100.73820504489399</v>
      </c>
    </row>
    <row r="24" spans="2:12" s="50" customFormat="1" x14ac:dyDescent="0.25">
      <c r="B24" s="50" t="s">
        <v>56</v>
      </c>
      <c r="E24" s="51"/>
    </row>
    <row r="25" spans="2:12" ht="15.75" thickBot="1" x14ac:dyDescent="0.3">
      <c r="B25" s="26" t="s">
        <v>17</v>
      </c>
      <c r="C25" s="27">
        <f>(J12-D2)/2</f>
        <v>0.35689642900512952</v>
      </c>
      <c r="D25" s="26" t="s">
        <v>21</v>
      </c>
      <c r="E25" s="27">
        <f>SIN(C25)</f>
        <v>0.34936791912360982</v>
      </c>
    </row>
    <row r="26" spans="2:12" ht="16.5" thickTop="1" thickBot="1" x14ac:dyDescent="0.3">
      <c r="B26" s="26" t="s">
        <v>18</v>
      </c>
      <c r="C26" s="27">
        <f>(J12+D2)/2</f>
        <v>1.5699002591411886</v>
      </c>
      <c r="D26" s="26" t="s">
        <v>22</v>
      </c>
      <c r="E26" s="29">
        <f>SIN(C26)</f>
        <v>0.99999959853140685</v>
      </c>
      <c r="F26">
        <f>E25/(E26*E27)</f>
        <v>400.3462043603007</v>
      </c>
      <c r="G26">
        <f>ATAN(F26)</f>
        <v>1.5682984938958089</v>
      </c>
      <c r="H26">
        <f>2*G26</f>
        <v>3.1365969877916178</v>
      </c>
      <c r="I26" s="6" t="s">
        <v>35</v>
      </c>
      <c r="J26" s="7">
        <f>DEGREES(H26)</f>
        <v>179.71376943390669</v>
      </c>
    </row>
    <row r="27" spans="2:12" ht="15.75" thickTop="1" x14ac:dyDescent="0.25">
      <c r="B27" s="26" t="s">
        <v>19</v>
      </c>
      <c r="C27" s="27">
        <f>(D5-D7)/2</f>
        <v>8.7266462599744354E-4</v>
      </c>
      <c r="D27" s="26" t="s">
        <v>20</v>
      </c>
      <c r="E27" s="27">
        <f>TAN(C27)</f>
        <v>8.7266484752155E-4</v>
      </c>
    </row>
    <row r="29" spans="2:12" x14ac:dyDescent="0.25">
      <c r="B29" s="80" t="s">
        <v>36</v>
      </c>
      <c r="C29" s="80"/>
      <c r="D29" s="5">
        <f>J26</f>
        <v>179.71376943390669</v>
      </c>
      <c r="F29" s="81" t="s">
        <v>37</v>
      </c>
      <c r="G29" s="81"/>
      <c r="H29">
        <f>(DEGREES(IF('Datos-Resultado'!E8='Datos-Resultado'!I12,ABS(Operaciones!D3)+ABS(Operaciones!H26),ABS(Operaciones!D3)-ABS(Operaciones!H26))))</f>
        <v>185.21376943390669</v>
      </c>
    </row>
    <row r="30" spans="2:12" x14ac:dyDescent="0.25">
      <c r="H30">
        <f>(IF(ABS(H29)&gt;180,(360-ABS(H29))*SIGN(D3)*-1,H29*SIGN(D3)))</f>
        <v>-174.78623056609331</v>
      </c>
    </row>
    <row r="32" spans="2:12" s="37" customFormat="1" x14ac:dyDescent="0.25">
      <c r="B32" s="36" t="s">
        <v>48</v>
      </c>
    </row>
    <row r="34" spans="2:7" x14ac:dyDescent="0.25">
      <c r="D34" s="31"/>
    </row>
    <row r="35" spans="2:7" x14ac:dyDescent="0.25">
      <c r="B35">
        <f>1/(TAN(D5)*COS(D12))</f>
        <v>1.0956441780097843</v>
      </c>
      <c r="C35">
        <f>2*ATAN(B35)</f>
        <v>1.662012053259464</v>
      </c>
      <c r="D35">
        <f>DEGREES(C35)</f>
        <v>95.226276151639482</v>
      </c>
      <c r="G35">
        <f>(DEGREES(IF('Datos-Resultado'!E8='Datos-Resultado'!I12,ABS(Operaciones!D3)+ABS(C35),ABS(Operaciones!D3)-ABS(C35))))</f>
        <v>100.72627615163948</v>
      </c>
    </row>
    <row r="36" spans="2:7" x14ac:dyDescent="0.25">
      <c r="G36">
        <f>(IF(ABS(G35)&gt;180,(360-ABS(G35))*SIGN(D3)*-1,G35*SIGN(D3)))</f>
        <v>100.72627615163948</v>
      </c>
    </row>
    <row r="37" spans="2:7" x14ac:dyDescent="0.25">
      <c r="D37" s="32"/>
    </row>
  </sheetData>
  <mergeCells count="7">
    <mergeCell ref="H12:I12"/>
    <mergeCell ref="B29:C29"/>
    <mergeCell ref="F29:G29"/>
    <mergeCell ref="F5:G7"/>
    <mergeCell ref="B21:C21"/>
    <mergeCell ref="F21:G21"/>
    <mergeCell ref="B12:C1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311B-595E-428A-A92B-11E4F7DF03D6}">
  <dimension ref="B3:K76"/>
  <sheetViews>
    <sheetView topLeftCell="A21" workbookViewId="0">
      <selection activeCell="J36" sqref="J36"/>
    </sheetView>
  </sheetViews>
  <sheetFormatPr baseColWidth="10" defaultRowHeight="15" x14ac:dyDescent="0.25"/>
  <cols>
    <col min="4" max="5" width="11.7109375" bestFit="1" customWidth="1"/>
    <col min="7" max="7" width="14" customWidth="1"/>
    <col min="8" max="8" width="11.7109375" bestFit="1" customWidth="1"/>
    <col min="9" max="9" width="12.85546875" customWidth="1"/>
    <col min="10" max="10" width="11.7109375" bestFit="1" customWidth="1"/>
    <col min="11" max="11" width="12" customWidth="1"/>
  </cols>
  <sheetData>
    <row r="3" spans="2:11" x14ac:dyDescent="0.25">
      <c r="B3" t="s">
        <v>38</v>
      </c>
      <c r="C3" t="s">
        <v>39</v>
      </c>
      <c r="D3" t="s">
        <v>40</v>
      </c>
      <c r="E3" t="s">
        <v>41</v>
      </c>
      <c r="F3" t="s">
        <v>42</v>
      </c>
      <c r="G3" t="s">
        <v>52</v>
      </c>
      <c r="H3" t="s">
        <v>43</v>
      </c>
      <c r="I3" t="s">
        <v>53</v>
      </c>
      <c r="J3" t="s">
        <v>44</v>
      </c>
      <c r="K3" t="s">
        <v>54</v>
      </c>
    </row>
    <row r="4" spans="2:11" x14ac:dyDescent="0.25">
      <c r="B4">
        <v>360</v>
      </c>
      <c r="C4">
        <f>COS(RADIANS(Tabla3[[#This Row],[Ángulo]]))</f>
        <v>1</v>
      </c>
      <c r="D4">
        <f>SIN(RADIANS(Tabla3[[#This Row],[Ángulo]]))</f>
        <v>-2.45029690981724E-16</v>
      </c>
      <c r="E4">
        <f>TAN(RADIANS(Tabla3[[#This Row],[Ángulo]]))</f>
        <v>-2.45029690981724E-16</v>
      </c>
      <c r="F4" s="10">
        <f>ACOS(Tabla3[[#This Row],[COS]])</f>
        <v>0</v>
      </c>
      <c r="G4" s="10">
        <f>DEGREES(Tabla3[[#This Row],[ACOS]])</f>
        <v>0</v>
      </c>
      <c r="H4" s="10">
        <f>ASIN(Tabla3[[#This Row],[SEN]])</f>
        <v>-2.45029690981724E-16</v>
      </c>
      <c r="I4" s="10">
        <f>DEGREES(Tabla3[[#This Row],[ASEN]])</f>
        <v>-1.4039167148647554E-14</v>
      </c>
      <c r="J4" s="10">
        <f>ATAN(Tabla3[[#This Row],[TG]])</f>
        <v>-2.45029690981724E-16</v>
      </c>
      <c r="K4" s="10">
        <f>DEGREES(Tabla3[[#This Row],[ATAN]])</f>
        <v>-1.4039167148647554E-14</v>
      </c>
    </row>
    <row r="5" spans="2:11" x14ac:dyDescent="0.25">
      <c r="B5">
        <f>B4-10</f>
        <v>350</v>
      </c>
      <c r="C5">
        <f>COS(RADIANS(Tabla3[[#This Row],[Ángulo]]))</f>
        <v>0.98480775301220802</v>
      </c>
      <c r="D5">
        <f>SIN(RADIANS(Tabla3[[#This Row],[Ángulo]]))</f>
        <v>-0.17364817766693039</v>
      </c>
      <c r="E5">
        <f>TAN(RADIANS(Tabla3[[#This Row],[Ángulo]]))</f>
        <v>-0.176326980708465</v>
      </c>
      <c r="F5" s="10">
        <f>ACOS(Tabla3[[#This Row],[COS]])</f>
        <v>0.1745329251994332</v>
      </c>
      <c r="G5" s="10">
        <f>DEGREES(Tabla3[[#This Row],[ACOS]])</f>
        <v>10.000000000000014</v>
      </c>
      <c r="H5" s="10">
        <f>ASIN(Tabla3[[#This Row],[SEN]])</f>
        <v>-0.174532925199433</v>
      </c>
      <c r="I5" s="10">
        <f>DEGREES(Tabla3[[#This Row],[ASEN]])</f>
        <v>-10.000000000000004</v>
      </c>
      <c r="J5" s="10">
        <f>ATAN(Tabla3[[#This Row],[TG]])</f>
        <v>-0.17453292519943298</v>
      </c>
      <c r="K5" s="10">
        <f>DEGREES(Tabla3[[#This Row],[ATAN]])</f>
        <v>-10.000000000000002</v>
      </c>
    </row>
    <row r="6" spans="2:11" x14ac:dyDescent="0.25">
      <c r="B6">
        <f t="shared" ref="B6:B71" si="0">B5-10</f>
        <v>340</v>
      </c>
      <c r="C6">
        <f>COS(RADIANS(Tabla3[[#This Row],[Ángulo]]))</f>
        <v>0.93969262078590843</v>
      </c>
      <c r="D6">
        <f>SIN(RADIANS(Tabla3[[#This Row],[Ángulo]]))</f>
        <v>-0.3420201433256686</v>
      </c>
      <c r="E6">
        <f>TAN(RADIANS(Tabla3[[#This Row],[Ángulo]]))</f>
        <v>-0.36397023426620218</v>
      </c>
      <c r="F6" s="10">
        <f>ACOS(Tabla3[[#This Row],[COS]])</f>
        <v>0.34906585039886573</v>
      </c>
      <c r="G6" s="10">
        <f>DEGREES(Tabla3[[#This Row],[ACOS]])</f>
        <v>19.999999999999989</v>
      </c>
      <c r="H6" s="10">
        <f>ASIN(Tabla3[[#This Row],[SEN]])</f>
        <v>-0.34906585039886578</v>
      </c>
      <c r="I6" s="10">
        <f>DEGREES(Tabla3[[#This Row],[ASEN]])</f>
        <v>-19.999999999999993</v>
      </c>
      <c r="J6" s="10">
        <f>ATAN(Tabla3[[#This Row],[TG]])</f>
        <v>-0.34906585039886573</v>
      </c>
      <c r="K6" s="10">
        <f>DEGREES(Tabla3[[#This Row],[ATAN]])</f>
        <v>-19.999999999999989</v>
      </c>
    </row>
    <row r="7" spans="2:11" x14ac:dyDescent="0.25">
      <c r="B7">
        <f t="shared" si="0"/>
        <v>330</v>
      </c>
      <c r="C7">
        <f>COS(RADIANS(Tabla3[[#This Row],[Ángulo]]))</f>
        <v>0.86602540378443837</v>
      </c>
      <c r="D7">
        <f>SIN(RADIANS(Tabla3[[#This Row],[Ángulo]]))</f>
        <v>-0.50000000000000044</v>
      </c>
      <c r="E7">
        <f>TAN(RADIANS(Tabla3[[#This Row],[Ángulo]]))</f>
        <v>-0.57735026918962651</v>
      </c>
      <c r="F7" s="10">
        <f>ACOS(Tabla3[[#This Row],[COS]])</f>
        <v>0.52359877559829937</v>
      </c>
      <c r="G7" s="10">
        <f>DEGREES(Tabla3[[#This Row],[ACOS]])</f>
        <v>30.000000000000028</v>
      </c>
      <c r="H7" s="10">
        <f>ASIN(Tabla3[[#This Row],[SEN]])</f>
        <v>-0.52359877559829948</v>
      </c>
      <c r="I7" s="10">
        <f>DEGREES(Tabla3[[#This Row],[ASEN]])</f>
        <v>-30.000000000000036</v>
      </c>
      <c r="J7" s="10">
        <f>ATAN(Tabla3[[#This Row],[TG]])</f>
        <v>-0.52359877559829948</v>
      </c>
      <c r="K7" s="10">
        <f>DEGREES(Tabla3[[#This Row],[ATAN]])</f>
        <v>-30.000000000000036</v>
      </c>
    </row>
    <row r="8" spans="2:11" x14ac:dyDescent="0.25">
      <c r="B8">
        <f t="shared" si="0"/>
        <v>320</v>
      </c>
      <c r="C8">
        <f>COS(RADIANS(Tabla3[[#This Row],[Ángulo]]))</f>
        <v>0.76604444311897779</v>
      </c>
      <c r="D8">
        <f>SIN(RADIANS(Tabla3[[#This Row],[Ángulo]]))</f>
        <v>-0.64278760968653958</v>
      </c>
      <c r="E8">
        <f>TAN(RADIANS(Tabla3[[#This Row],[Ángulo]]))</f>
        <v>-0.83909963117728059</v>
      </c>
      <c r="F8" s="10">
        <f>ACOS(Tabla3[[#This Row],[COS]])</f>
        <v>0.69813170079773224</v>
      </c>
      <c r="G8" s="10">
        <f>DEGREES(Tabla3[[#This Row],[ACOS]])</f>
        <v>40.000000000000021</v>
      </c>
      <c r="H8" s="10">
        <f>ASIN(Tabla3[[#This Row],[SEN]])</f>
        <v>-0.69813170079773224</v>
      </c>
      <c r="I8" s="10">
        <f>DEGREES(Tabla3[[#This Row],[ASEN]])</f>
        <v>-40.000000000000021</v>
      </c>
      <c r="J8" s="10">
        <f>ATAN(Tabla3[[#This Row],[TG]])</f>
        <v>-0.69813170079773212</v>
      </c>
      <c r="K8" s="10">
        <f>DEGREES(Tabla3[[#This Row],[ATAN]])</f>
        <v>-40.000000000000021</v>
      </c>
    </row>
    <row r="9" spans="2:11" x14ac:dyDescent="0.25">
      <c r="B9">
        <f t="shared" si="0"/>
        <v>310</v>
      </c>
      <c r="C9">
        <f>COS(RADIANS(Tabla3[[#This Row],[Ángulo]]))</f>
        <v>0.64278760968653925</v>
      </c>
      <c r="D9">
        <f>SIN(RADIANS(Tabla3[[#This Row],[Ángulo]]))</f>
        <v>-0.76604444311897812</v>
      </c>
      <c r="E9">
        <f>TAN(RADIANS(Tabla3[[#This Row],[Ángulo]]))</f>
        <v>-1.1917535925942102</v>
      </c>
      <c r="F9" s="10">
        <f>ACOS(Tabla3[[#This Row],[COS]])</f>
        <v>0.87266462599716488</v>
      </c>
      <c r="G9" s="10">
        <f>DEGREES(Tabla3[[#This Row],[ACOS]])</f>
        <v>50.000000000000007</v>
      </c>
      <c r="H9" s="10">
        <f>ASIN(Tabla3[[#This Row],[SEN]])</f>
        <v>-0.87266462599716488</v>
      </c>
      <c r="I9" s="10">
        <f>DEGREES(Tabla3[[#This Row],[ASEN]])</f>
        <v>-50.000000000000007</v>
      </c>
      <c r="J9" s="10">
        <f>ATAN(Tabla3[[#This Row],[TG]])</f>
        <v>-0.87266462599716488</v>
      </c>
      <c r="K9" s="10">
        <f>DEGREES(Tabla3[[#This Row],[ATAN]])</f>
        <v>-50.000000000000007</v>
      </c>
    </row>
    <row r="10" spans="2:11" x14ac:dyDescent="0.25">
      <c r="B10">
        <f t="shared" si="0"/>
        <v>300</v>
      </c>
      <c r="C10">
        <f>COS(RADIANS(Tabla3[[#This Row],[Ángulo]]))</f>
        <v>0.50000000000000011</v>
      </c>
      <c r="D10">
        <f>SIN(RADIANS(Tabla3[[#This Row],[Ángulo]]))</f>
        <v>-0.8660254037844386</v>
      </c>
      <c r="E10">
        <f>TAN(RADIANS(Tabla3[[#This Row],[Ángulo]]))</f>
        <v>-1.732050807568877</v>
      </c>
      <c r="F10" s="10">
        <f>ACOS(Tabla3[[#This Row],[COS]])</f>
        <v>1.0471975511965974</v>
      </c>
      <c r="G10" s="10">
        <f>DEGREES(Tabla3[[#This Row],[ACOS]])</f>
        <v>59.999999999999986</v>
      </c>
      <c r="H10" s="10">
        <f>ASIN(Tabla3[[#This Row],[SEN]])</f>
        <v>-1.0471975511965976</v>
      </c>
      <c r="I10" s="10">
        <f>DEGREES(Tabla3[[#This Row],[ASEN]])</f>
        <v>-59.999999999999993</v>
      </c>
      <c r="J10" s="10">
        <f>ATAN(Tabla3[[#This Row],[TG]])</f>
        <v>-1.0471975511965976</v>
      </c>
      <c r="K10" s="10">
        <f>DEGREES(Tabla3[[#This Row],[ATAN]])</f>
        <v>-59.999999999999993</v>
      </c>
    </row>
    <row r="11" spans="2:11" x14ac:dyDescent="0.25">
      <c r="B11">
        <f t="shared" si="0"/>
        <v>290</v>
      </c>
      <c r="C11">
        <f>COS(RADIANS(Tabla3[[#This Row],[Ángulo]]))</f>
        <v>0.34202014332566899</v>
      </c>
      <c r="D11">
        <f>SIN(RADIANS(Tabla3[[#This Row],[Ángulo]]))</f>
        <v>-0.93969262078590832</v>
      </c>
      <c r="E11">
        <f>TAN(RADIANS(Tabla3[[#This Row],[Ángulo]]))</f>
        <v>-2.7474774194546199</v>
      </c>
      <c r="F11" s="10">
        <f>ACOS(Tabla3[[#This Row],[COS]])</f>
        <v>1.2217304763960304</v>
      </c>
      <c r="G11" s="10">
        <f>DEGREES(Tabla3[[#This Row],[ACOS]])</f>
        <v>69.999999999999986</v>
      </c>
      <c r="H11" s="10">
        <f>ASIN(Tabla3[[#This Row],[SEN]])</f>
        <v>-1.2217304763960308</v>
      </c>
      <c r="I11" s="10">
        <f>DEGREES(Tabla3[[#This Row],[ASEN]])</f>
        <v>-70.000000000000014</v>
      </c>
      <c r="J11" s="10">
        <f>ATAN(Tabla3[[#This Row],[TG]])</f>
        <v>-1.2217304763960304</v>
      </c>
      <c r="K11" s="10">
        <f>DEGREES(Tabla3[[#This Row],[ATAN]])</f>
        <v>-69.999999999999986</v>
      </c>
    </row>
    <row r="12" spans="2:11" x14ac:dyDescent="0.25">
      <c r="B12">
        <f t="shared" si="0"/>
        <v>280</v>
      </c>
      <c r="C12">
        <f>COS(RADIANS(Tabla3[[#This Row],[Ángulo]]))</f>
        <v>0.17364817766692997</v>
      </c>
      <c r="D12">
        <f>SIN(RADIANS(Tabla3[[#This Row],[Ángulo]]))</f>
        <v>-0.98480775301220813</v>
      </c>
      <c r="E12">
        <f>TAN(RADIANS(Tabla3[[#This Row],[Ángulo]]))</f>
        <v>-5.6712818196177226</v>
      </c>
      <c r="F12" s="10">
        <f>ACOS(Tabla3[[#This Row],[COS]])</f>
        <v>1.396263401595464</v>
      </c>
      <c r="G12" s="10">
        <f>DEGREES(Tabla3[[#This Row],[ACOS]])</f>
        <v>80.000000000000028</v>
      </c>
      <c r="H12" s="10">
        <f>ASIN(Tabla3[[#This Row],[SEN]])</f>
        <v>-1.396263401595464</v>
      </c>
      <c r="I12" s="10">
        <f>DEGREES(Tabla3[[#This Row],[ASEN]])</f>
        <v>-80.000000000000028</v>
      </c>
      <c r="J12" s="10">
        <f>ATAN(Tabla3[[#This Row],[TG]])</f>
        <v>-1.396263401595464</v>
      </c>
      <c r="K12" s="10">
        <f>DEGREES(Tabla3[[#This Row],[ATAN]])</f>
        <v>-80.000000000000028</v>
      </c>
    </row>
    <row r="13" spans="2:11" x14ac:dyDescent="0.25">
      <c r="B13">
        <f t="shared" si="0"/>
        <v>270</v>
      </c>
      <c r="C13">
        <f>COS(RADIANS(Tabla3[[#This Row],[Ángulo]]))</f>
        <v>-1.83772268236293E-16</v>
      </c>
      <c r="D13">
        <f>SIN(RADIANS(Tabla3[[#This Row],[Ángulo]]))</f>
        <v>-1</v>
      </c>
      <c r="E13">
        <f>TAN(RADIANS(Tabla3[[#This Row],[Ángulo]]))</f>
        <v>5441517425873024</v>
      </c>
      <c r="F13" s="10">
        <f>ACOS(Tabla3[[#This Row],[COS]])</f>
        <v>1.5707963267948968</v>
      </c>
      <c r="G13" s="10">
        <f>DEGREES(Tabla3[[#This Row],[ACOS]])</f>
        <v>90.000000000000014</v>
      </c>
      <c r="H13" s="10">
        <f>ASIN(Tabla3[[#This Row],[SEN]])</f>
        <v>-1.5707963267948966</v>
      </c>
      <c r="I13" s="10">
        <f>DEGREES(Tabla3[[#This Row],[ASEN]])</f>
        <v>-90</v>
      </c>
      <c r="J13" s="10">
        <f>ATAN(Tabla3[[#This Row],[TG]])</f>
        <v>1.5707963267948963</v>
      </c>
      <c r="K13" s="10">
        <f>DEGREES(Tabla3[[#This Row],[ATAN]])</f>
        <v>89.999999999999986</v>
      </c>
    </row>
    <row r="14" spans="2:11" x14ac:dyDescent="0.25">
      <c r="B14">
        <f>B13-10</f>
        <v>260</v>
      </c>
      <c r="C14">
        <f>COS(RADIANS(Tabla3[[#This Row],[Ángulo]]))</f>
        <v>-0.17364817766693033</v>
      </c>
      <c r="D14">
        <f>SIN(RADIANS(Tabla3[[#This Row],[Ángulo]]))</f>
        <v>-0.98480775301220802</v>
      </c>
      <c r="E14">
        <f>TAN(RADIANS(Tabla3[[#This Row],[Ángulo]]))</f>
        <v>5.6712818196177102</v>
      </c>
      <c r="F14" s="10">
        <f>ACOS(Tabla3[[#This Row],[COS]])</f>
        <v>1.7453292519943295</v>
      </c>
      <c r="G14" s="10">
        <f>DEGREES(Tabla3[[#This Row],[ACOS]])</f>
        <v>100</v>
      </c>
      <c r="H14" s="10">
        <f>ASIN(Tabla3[[#This Row],[SEN]])</f>
        <v>-1.396263401595464</v>
      </c>
      <c r="I14" s="10">
        <f>DEGREES(Tabla3[[#This Row],[ASEN]])</f>
        <v>-80.000000000000028</v>
      </c>
      <c r="J14" s="10">
        <f>ATAN(Tabla3[[#This Row],[TG]])</f>
        <v>1.3962634015954636</v>
      </c>
      <c r="K14" s="10">
        <f>DEGREES(Tabla3[[#This Row],[ATAN]])</f>
        <v>80</v>
      </c>
    </row>
    <row r="15" spans="2:11" x14ac:dyDescent="0.25">
      <c r="B15">
        <f t="shared" si="0"/>
        <v>250</v>
      </c>
      <c r="C15">
        <f>COS(RADIANS(Tabla3[[#This Row],[Ángulo]]))</f>
        <v>-0.34202014332566855</v>
      </c>
      <c r="D15">
        <f>SIN(RADIANS(Tabla3[[#This Row],[Ángulo]]))</f>
        <v>-0.93969262078590843</v>
      </c>
      <c r="E15">
        <f>TAN(RADIANS(Tabla3[[#This Row],[Ángulo]]))</f>
        <v>2.7474774194546243</v>
      </c>
      <c r="F15" s="10">
        <f>ACOS(Tabla3[[#This Row],[COS]])</f>
        <v>1.9198621771937623</v>
      </c>
      <c r="G15" s="10">
        <f>DEGREES(Tabla3[[#This Row],[ACOS]])</f>
        <v>109.99999999999999</v>
      </c>
      <c r="H15" s="10">
        <f>ASIN(Tabla3[[#This Row],[SEN]])</f>
        <v>-1.2217304763960308</v>
      </c>
      <c r="I15" s="10">
        <f>DEGREES(Tabla3[[#This Row],[ASEN]])</f>
        <v>-70.000000000000014</v>
      </c>
      <c r="J15" s="10">
        <f>ATAN(Tabla3[[#This Row],[TG]])</f>
        <v>1.2217304763960311</v>
      </c>
      <c r="K15" s="10">
        <f>DEGREES(Tabla3[[#This Row],[ATAN]])</f>
        <v>70.000000000000028</v>
      </c>
    </row>
    <row r="16" spans="2:11" x14ac:dyDescent="0.25">
      <c r="B16">
        <f t="shared" si="0"/>
        <v>240</v>
      </c>
      <c r="C16">
        <f>COS(RADIANS(Tabla3[[#This Row],[Ángulo]]))</f>
        <v>-0.50000000000000044</v>
      </c>
      <c r="D16">
        <f>SIN(RADIANS(Tabla3[[#This Row],[Ángulo]]))</f>
        <v>-0.86602540378443837</v>
      </c>
      <c r="E16">
        <f>TAN(RADIANS(Tabla3[[#This Row],[Ángulo]]))</f>
        <v>1.7320508075688754</v>
      </c>
      <c r="F16" s="10">
        <f>ACOS(Tabla3[[#This Row],[COS]])</f>
        <v>2.0943951023931962</v>
      </c>
      <c r="G16" s="10">
        <f>DEGREES(Tabla3[[#This Row],[ACOS]])</f>
        <v>120.00000000000004</v>
      </c>
      <c r="H16" s="10">
        <f>ASIN(Tabla3[[#This Row],[SEN]])</f>
        <v>-1.0471975511965972</v>
      </c>
      <c r="I16" s="10">
        <f>DEGREES(Tabla3[[#This Row],[ASEN]])</f>
        <v>-59.999999999999972</v>
      </c>
      <c r="J16" s="10">
        <f>ATAN(Tabla3[[#This Row],[TG]])</f>
        <v>1.0471975511965972</v>
      </c>
      <c r="K16" s="10">
        <f>DEGREES(Tabla3[[#This Row],[ATAN]])</f>
        <v>59.999999999999972</v>
      </c>
    </row>
    <row r="17" spans="2:11" x14ac:dyDescent="0.25">
      <c r="B17">
        <f t="shared" si="0"/>
        <v>230</v>
      </c>
      <c r="C17">
        <f>COS(RADIANS(Tabla3[[#This Row],[Ángulo]]))</f>
        <v>-0.64278760968653947</v>
      </c>
      <c r="D17">
        <f>SIN(RADIANS(Tabla3[[#This Row],[Ángulo]]))</f>
        <v>-0.7660444431189779</v>
      </c>
      <c r="E17">
        <f>TAN(RADIANS(Tabla3[[#This Row],[Ángulo]]))</f>
        <v>1.1917535925942093</v>
      </c>
      <c r="F17" s="10">
        <f>ACOS(Tabla3[[#This Row],[COS]])</f>
        <v>2.2689280275926285</v>
      </c>
      <c r="G17" s="10">
        <f>DEGREES(Tabla3[[#This Row],[ACOS]])</f>
        <v>130</v>
      </c>
      <c r="H17" s="10">
        <f>ASIN(Tabla3[[#This Row],[SEN]])</f>
        <v>-0.87266462599716466</v>
      </c>
      <c r="I17" s="10">
        <f>DEGREES(Tabla3[[#This Row],[ASEN]])</f>
        <v>-49.999999999999993</v>
      </c>
      <c r="J17" s="10">
        <f>ATAN(Tabla3[[#This Row],[TG]])</f>
        <v>0.87266462599716454</v>
      </c>
      <c r="K17" s="10">
        <f>DEGREES(Tabla3[[#This Row],[ATAN]])</f>
        <v>49.999999999999986</v>
      </c>
    </row>
    <row r="18" spans="2:11" x14ac:dyDescent="0.25">
      <c r="B18">
        <f t="shared" si="0"/>
        <v>220</v>
      </c>
      <c r="C18">
        <f>COS(RADIANS(Tabla3[[#This Row],[Ángulo]]))</f>
        <v>-0.76604444311897801</v>
      </c>
      <c r="D18">
        <f>SIN(RADIANS(Tabla3[[#This Row],[Ángulo]]))</f>
        <v>-0.64278760968653925</v>
      </c>
      <c r="E18">
        <f>TAN(RADIANS(Tabla3[[#This Row],[Ángulo]]))</f>
        <v>0.83909963117727993</v>
      </c>
      <c r="F18" s="10">
        <f>ACOS(Tabla3[[#This Row],[COS]])</f>
        <v>2.4434609527920612</v>
      </c>
      <c r="G18" s="10">
        <f>DEGREES(Tabla3[[#This Row],[ACOS]])</f>
        <v>140</v>
      </c>
      <c r="H18" s="10">
        <f>ASIN(Tabla3[[#This Row],[SEN]])</f>
        <v>-0.69813170079773168</v>
      </c>
      <c r="I18" s="10">
        <f>DEGREES(Tabla3[[#This Row],[ASEN]])</f>
        <v>-39.999999999999993</v>
      </c>
      <c r="J18" s="10">
        <f>ATAN(Tabla3[[#This Row],[TG]])</f>
        <v>0.69813170079773179</v>
      </c>
      <c r="K18" s="10">
        <f>DEGREES(Tabla3[[#This Row],[ATAN]])</f>
        <v>40</v>
      </c>
    </row>
    <row r="19" spans="2:11" x14ac:dyDescent="0.25">
      <c r="B19">
        <f t="shared" si="0"/>
        <v>210</v>
      </c>
      <c r="C19">
        <f>COS(RADIANS(Tabla3[[#This Row],[Ángulo]]))</f>
        <v>-0.8660254037844386</v>
      </c>
      <c r="D19">
        <f>SIN(RADIANS(Tabla3[[#This Row],[Ángulo]]))</f>
        <v>-0.50000000000000011</v>
      </c>
      <c r="E19">
        <f>TAN(RADIANS(Tabla3[[#This Row],[Ángulo]]))</f>
        <v>0.57735026918962595</v>
      </c>
      <c r="F19" s="10">
        <f>ACOS(Tabla3[[#This Row],[COS]])</f>
        <v>2.617993877991494</v>
      </c>
      <c r="G19" s="10">
        <f>DEGREES(Tabla3[[#This Row],[ACOS]])</f>
        <v>149.99999999999997</v>
      </c>
      <c r="H19" s="10">
        <f>ASIN(Tabla3[[#This Row],[SEN]])</f>
        <v>-0.52359877559829904</v>
      </c>
      <c r="I19" s="10">
        <f>DEGREES(Tabla3[[#This Row],[ASEN]])</f>
        <v>-30.000000000000011</v>
      </c>
      <c r="J19" s="10">
        <f>ATAN(Tabla3[[#This Row],[TG]])</f>
        <v>0.52359877559829904</v>
      </c>
      <c r="K19" s="10">
        <f>DEGREES(Tabla3[[#This Row],[ATAN]])</f>
        <v>30.000000000000011</v>
      </c>
    </row>
    <row r="20" spans="2:11" x14ac:dyDescent="0.25">
      <c r="B20">
        <f>B19-10</f>
        <v>200</v>
      </c>
      <c r="C20">
        <f>COS(RADIANS(Tabla3[[#This Row],[Ángulo]]))</f>
        <v>-0.93969262078590843</v>
      </c>
      <c r="D20">
        <f>SIN(RADIANS(Tabla3[[#This Row],[Ángulo]]))</f>
        <v>-0.34202014332566866</v>
      </c>
      <c r="E20">
        <f>TAN(RADIANS(Tabla3[[#This Row],[Ángulo]]))</f>
        <v>0.36397023426620229</v>
      </c>
      <c r="F20" s="10">
        <f>ACOS(Tabla3[[#This Row],[COS]])</f>
        <v>2.7925268031909276</v>
      </c>
      <c r="G20" s="10">
        <f>DEGREES(Tabla3[[#This Row],[ACOS]])</f>
        <v>160.00000000000003</v>
      </c>
      <c r="H20" s="10">
        <f>ASIN(Tabla3[[#This Row],[SEN]])</f>
        <v>-0.34906585039886584</v>
      </c>
      <c r="I20" s="10">
        <f>DEGREES(Tabla3[[#This Row],[ASEN]])</f>
        <v>-19.999999999999996</v>
      </c>
      <c r="J20" s="10">
        <f>ATAN(Tabla3[[#This Row],[TG]])</f>
        <v>0.34906585039886584</v>
      </c>
      <c r="K20" s="10">
        <f>DEGREES(Tabla3[[#This Row],[ATAN]])</f>
        <v>19.999999999999996</v>
      </c>
    </row>
    <row r="21" spans="2:11" x14ac:dyDescent="0.25">
      <c r="B21">
        <f t="shared" si="0"/>
        <v>190</v>
      </c>
      <c r="C21">
        <f>COS(RADIANS(Tabla3[[#This Row],[Ángulo]]))</f>
        <v>-0.98480775301220802</v>
      </c>
      <c r="D21">
        <f>SIN(RADIANS(Tabla3[[#This Row],[Ángulo]]))</f>
        <v>-0.17364817766693047</v>
      </c>
      <c r="E21">
        <f>TAN(RADIANS(Tabla3[[#This Row],[Ángulo]]))</f>
        <v>0.17632698070846509</v>
      </c>
      <c r="F21" s="10">
        <f>ACOS(Tabla3[[#This Row],[COS]])</f>
        <v>2.9670597283903604</v>
      </c>
      <c r="G21" s="10">
        <f>DEGREES(Tabla3[[#This Row],[ACOS]])</f>
        <v>170</v>
      </c>
      <c r="H21" s="10">
        <f>ASIN(Tabla3[[#This Row],[SEN]])</f>
        <v>-0.17453292519943309</v>
      </c>
      <c r="I21" s="10">
        <f>DEGREES(Tabla3[[#This Row],[ASEN]])</f>
        <v>-10.000000000000007</v>
      </c>
      <c r="J21" s="10">
        <f>ATAN(Tabla3[[#This Row],[TG]])</f>
        <v>0.17453292519943306</v>
      </c>
      <c r="K21" s="10">
        <f>DEGREES(Tabla3[[#This Row],[ATAN]])</f>
        <v>10.000000000000005</v>
      </c>
    </row>
    <row r="22" spans="2:11" x14ac:dyDescent="0.25">
      <c r="B22" s="5">
        <f t="shared" si="0"/>
        <v>180</v>
      </c>
      <c r="C22">
        <f>COS(RADIANS(Tabla3[[#This Row],[Ángulo]]))</f>
        <v>-1</v>
      </c>
      <c r="D22">
        <f>SIN(RADIANS(Tabla3[[#This Row],[Ángulo]]))</f>
        <v>1.22514845490862E-16</v>
      </c>
      <c r="E22">
        <f>TAN(RADIANS(Tabla3[[#This Row],[Ángulo]]))</f>
        <v>-1.22514845490862E-16</v>
      </c>
      <c r="F22" s="10">
        <f>ACOS(Tabla3[[#This Row],[COS]])</f>
        <v>3.1415926535897931</v>
      </c>
      <c r="G22" s="10">
        <f>DEGREES(Tabla3[[#This Row],[ACOS]])</f>
        <v>180</v>
      </c>
      <c r="H22" s="64">
        <f>ASIN(Tabla3[[#This Row],[SEN]])</f>
        <v>1.22514845490862E-16</v>
      </c>
      <c r="I22" s="10">
        <f>DEGREES(Tabla3[[#This Row],[ASEN]])</f>
        <v>7.0195835743237771E-15</v>
      </c>
      <c r="J22" s="63">
        <f>ATAN(Tabla3[[#This Row],[TG]])</f>
        <v>-1.22514845490862E-16</v>
      </c>
      <c r="K22" s="63">
        <f>DEGREES(Tabla3[[#This Row],[ATAN]])</f>
        <v>-7.0195835743237771E-15</v>
      </c>
    </row>
    <row r="23" spans="2:11" x14ac:dyDescent="0.25">
      <c r="B23" s="5">
        <f t="shared" si="0"/>
        <v>170</v>
      </c>
      <c r="C23">
        <f>COS(RADIANS(Tabla3[[#This Row],[Ángulo]]))</f>
        <v>-0.98480775301220802</v>
      </c>
      <c r="D23">
        <f>SIN(RADIANS(Tabla3[[#This Row],[Ángulo]]))</f>
        <v>0.17364817766693028</v>
      </c>
      <c r="E23">
        <f>TAN(RADIANS(Tabla3[[#This Row],[Ángulo]]))</f>
        <v>-0.17632698070846489</v>
      </c>
      <c r="F23" s="10">
        <f>ACOS(Tabla3[[#This Row],[COS]])</f>
        <v>2.9670597283903604</v>
      </c>
      <c r="G23" s="10">
        <f>DEGREES(Tabla3[[#This Row],[ACOS]])</f>
        <v>170</v>
      </c>
      <c r="H23" s="64">
        <f>ASIN(Tabla3[[#This Row],[SEN]])</f>
        <v>0.17453292519943289</v>
      </c>
      <c r="I23" s="10">
        <f>DEGREES(Tabla3[[#This Row],[ASEN]])</f>
        <v>9.9999999999999964</v>
      </c>
      <c r="J23" s="63">
        <f>ATAN(Tabla3[[#This Row],[TG]])</f>
        <v>-0.17453292519943289</v>
      </c>
      <c r="K23" s="63">
        <f>DEGREES(Tabla3[[#This Row],[ATAN]])</f>
        <v>-9.9999999999999964</v>
      </c>
    </row>
    <row r="24" spans="2:11" x14ac:dyDescent="0.25">
      <c r="B24" s="5">
        <f t="shared" si="0"/>
        <v>160</v>
      </c>
      <c r="C24">
        <f>COS(RADIANS(Tabla3[[#This Row],[Ángulo]]))</f>
        <v>-0.93969262078590832</v>
      </c>
      <c r="D24">
        <f>SIN(RADIANS(Tabla3[[#This Row],[Ángulo]]))</f>
        <v>0.34202014332566888</v>
      </c>
      <c r="E24">
        <f>TAN(RADIANS(Tabla3[[#This Row],[Ángulo]]))</f>
        <v>-0.36397023426620256</v>
      </c>
      <c r="F24" s="10">
        <f>ACOS(Tabla3[[#This Row],[COS]])</f>
        <v>2.7925268031909276</v>
      </c>
      <c r="G24" s="10">
        <f>DEGREES(Tabla3[[#This Row],[ACOS]])</f>
        <v>160.00000000000003</v>
      </c>
      <c r="H24" s="64">
        <f>ASIN(Tabla3[[#This Row],[SEN]])</f>
        <v>0.34906585039886612</v>
      </c>
      <c r="I24" s="10">
        <f>DEGREES(Tabla3[[#This Row],[ASEN]])</f>
        <v>20.000000000000011</v>
      </c>
      <c r="J24" s="63">
        <f>ATAN(Tabla3[[#This Row],[TG]])</f>
        <v>-0.34906585039886612</v>
      </c>
      <c r="K24" s="63">
        <f>DEGREES(Tabla3[[#This Row],[ATAN]])</f>
        <v>-20.000000000000011</v>
      </c>
    </row>
    <row r="25" spans="2:11" x14ac:dyDescent="0.25">
      <c r="B25" s="5">
        <f t="shared" si="0"/>
        <v>150</v>
      </c>
      <c r="C25">
        <f>COS(RADIANS(Tabla3[[#This Row],[Ángulo]]))</f>
        <v>-0.86602540378443871</v>
      </c>
      <c r="D25">
        <f>SIN(RADIANS(Tabla3[[#This Row],[Ángulo]]))</f>
        <v>0.49999999999999994</v>
      </c>
      <c r="E25">
        <f>TAN(RADIANS(Tabla3[[#This Row],[Ángulo]]))</f>
        <v>-0.57735026918962573</v>
      </c>
      <c r="F25" s="10">
        <f>ACOS(Tabla3[[#This Row],[COS]])</f>
        <v>2.6179938779914949</v>
      </c>
      <c r="G25" s="10">
        <f>DEGREES(Tabla3[[#This Row],[ACOS]])</f>
        <v>150.00000000000003</v>
      </c>
      <c r="H25" s="64">
        <f>ASIN(Tabla3[[#This Row],[SEN]])</f>
        <v>0.52359877559829882</v>
      </c>
      <c r="I25" s="10">
        <f>DEGREES(Tabla3[[#This Row],[ASEN]])</f>
        <v>29.999999999999996</v>
      </c>
      <c r="J25" s="63">
        <f>ATAN(Tabla3[[#This Row],[TG]])</f>
        <v>-0.52359877559829882</v>
      </c>
      <c r="K25" s="63">
        <f>DEGREES(Tabla3[[#This Row],[ATAN]])</f>
        <v>-29.999999999999996</v>
      </c>
    </row>
    <row r="26" spans="2:11" x14ac:dyDescent="0.25">
      <c r="B26" s="5">
        <f t="shared" si="0"/>
        <v>140</v>
      </c>
      <c r="C26">
        <f>COS(RADIANS(Tabla3[[#This Row],[Ángulo]]))</f>
        <v>-0.7660444431189779</v>
      </c>
      <c r="D26">
        <f>SIN(RADIANS(Tabla3[[#This Row],[Ángulo]]))</f>
        <v>0.64278760968653947</v>
      </c>
      <c r="E26">
        <f>TAN(RADIANS(Tabla3[[#This Row],[Ángulo]]))</f>
        <v>-0.83909963117728037</v>
      </c>
      <c r="F26" s="10">
        <f>ACOS(Tabla3[[#This Row],[COS]])</f>
        <v>2.4434609527920612</v>
      </c>
      <c r="G26" s="10">
        <f>DEGREES(Tabla3[[#This Row],[ACOS]])</f>
        <v>140</v>
      </c>
      <c r="H26" s="64">
        <f>ASIN(Tabla3[[#This Row],[SEN]])</f>
        <v>0.69813170079773201</v>
      </c>
      <c r="I26" s="10">
        <f>DEGREES(Tabla3[[#This Row],[ASEN]])</f>
        <v>40.000000000000014</v>
      </c>
      <c r="J26" s="63">
        <f>ATAN(Tabla3[[#This Row],[TG]])</f>
        <v>-0.69813170079773201</v>
      </c>
      <c r="K26" s="63">
        <f>DEGREES(Tabla3[[#This Row],[ATAN]])</f>
        <v>-40.000000000000014</v>
      </c>
    </row>
    <row r="27" spans="2:11" x14ac:dyDescent="0.25">
      <c r="B27" s="5">
        <f t="shared" si="0"/>
        <v>130</v>
      </c>
      <c r="C27">
        <f>COS(RADIANS(Tabla3[[#This Row],[Ángulo]]))</f>
        <v>-0.64278760968653936</v>
      </c>
      <c r="D27">
        <f>SIN(RADIANS(Tabla3[[#This Row],[Ángulo]]))</f>
        <v>0.76604444311897801</v>
      </c>
      <c r="E27">
        <f>TAN(RADIANS(Tabla3[[#This Row],[Ángulo]]))</f>
        <v>-1.19175359259421</v>
      </c>
      <c r="F27" s="10">
        <f>ACOS(Tabla3[[#This Row],[COS]])</f>
        <v>2.2689280275926285</v>
      </c>
      <c r="G27" s="10">
        <f>DEGREES(Tabla3[[#This Row],[ACOS]])</f>
        <v>130</v>
      </c>
      <c r="H27" s="64">
        <f>ASIN(Tabla3[[#This Row],[SEN]])</f>
        <v>0.87266462599716466</v>
      </c>
      <c r="I27" s="10">
        <f>DEGREES(Tabla3[[#This Row],[ASEN]])</f>
        <v>49.999999999999993</v>
      </c>
      <c r="J27" s="63">
        <f>ATAN(Tabla3[[#This Row],[TG]])</f>
        <v>-0.87266462599716477</v>
      </c>
      <c r="K27" s="63">
        <f>DEGREES(Tabla3[[#This Row],[ATAN]])</f>
        <v>-50</v>
      </c>
    </row>
    <row r="28" spans="2:11" x14ac:dyDescent="0.25">
      <c r="B28" s="5">
        <f t="shared" si="0"/>
        <v>120</v>
      </c>
      <c r="C28">
        <f>COS(RADIANS(Tabla3[[#This Row],[Ángulo]]))</f>
        <v>-0.49999999999999978</v>
      </c>
      <c r="D28">
        <f>SIN(RADIANS(Tabla3[[#This Row],[Ángulo]]))</f>
        <v>0.86602540378443871</v>
      </c>
      <c r="E28">
        <f>TAN(RADIANS(Tabla3[[#This Row],[Ángulo]]))</f>
        <v>-1.7320508075688783</v>
      </c>
      <c r="F28" s="10">
        <f>ACOS(Tabla3[[#This Row],[COS]])</f>
        <v>2.0943951023931953</v>
      </c>
      <c r="G28" s="10">
        <f>DEGREES(Tabla3[[#This Row],[ACOS]])</f>
        <v>119.99999999999999</v>
      </c>
      <c r="H28" s="64">
        <f>ASIN(Tabla3[[#This Row],[SEN]])</f>
        <v>1.0471975511965979</v>
      </c>
      <c r="I28" s="10">
        <f>DEGREES(Tabla3[[#This Row],[ASEN]])</f>
        <v>60.000000000000007</v>
      </c>
      <c r="J28" s="63">
        <f>ATAN(Tabla3[[#This Row],[TG]])</f>
        <v>-1.0471975511965981</v>
      </c>
      <c r="K28" s="63">
        <f>DEGREES(Tabla3[[#This Row],[ATAN]])</f>
        <v>-60.000000000000021</v>
      </c>
    </row>
    <row r="29" spans="2:11" x14ac:dyDescent="0.25">
      <c r="B29" s="5">
        <f>B28-10</f>
        <v>110</v>
      </c>
      <c r="C29">
        <f>COS(RADIANS(Tabla3[[#This Row],[Ángulo]]))</f>
        <v>-0.34202014332566871</v>
      </c>
      <c r="D29">
        <f>SIN(RADIANS(Tabla3[[#This Row],[Ángulo]]))</f>
        <v>0.93969262078590843</v>
      </c>
      <c r="E29">
        <f>TAN(RADIANS(Tabla3[[#This Row],[Ángulo]]))</f>
        <v>-2.7474774194546225</v>
      </c>
      <c r="F29" s="10">
        <f>ACOS(Tabla3[[#This Row],[COS]])</f>
        <v>1.9198621771937625</v>
      </c>
      <c r="G29" s="10">
        <f>DEGREES(Tabla3[[#This Row],[ACOS]])</f>
        <v>110</v>
      </c>
      <c r="H29" s="64">
        <f>ASIN(Tabla3[[#This Row],[SEN]])</f>
        <v>1.2217304763960308</v>
      </c>
      <c r="I29" s="10">
        <f>DEGREES(Tabla3[[#This Row],[ASEN]])</f>
        <v>70.000000000000014</v>
      </c>
      <c r="J29" s="63">
        <f>ATAN(Tabla3[[#This Row],[TG]])</f>
        <v>-1.2217304763960308</v>
      </c>
      <c r="K29" s="63">
        <f>DEGREES(Tabla3[[#This Row],[ATAN]])</f>
        <v>-70.000000000000014</v>
      </c>
    </row>
    <row r="30" spans="2:11" x14ac:dyDescent="0.25">
      <c r="B30" s="5">
        <f t="shared" si="0"/>
        <v>100</v>
      </c>
      <c r="C30">
        <f>COS(RADIANS(Tabla3[[#This Row],[Ángulo]]))</f>
        <v>-0.1736481776669303</v>
      </c>
      <c r="D30">
        <f>SIN(RADIANS(Tabla3[[#This Row],[Ángulo]]))</f>
        <v>0.98480775301220802</v>
      </c>
      <c r="E30">
        <f>TAN(RADIANS(Tabla3[[#This Row],[Ángulo]]))</f>
        <v>-5.6712818196177111</v>
      </c>
      <c r="F30" s="10">
        <f>ACOS(Tabla3[[#This Row],[COS]])</f>
        <v>1.7453292519943295</v>
      </c>
      <c r="G30" s="10">
        <f>DEGREES(Tabla3[[#This Row],[ACOS]])</f>
        <v>100</v>
      </c>
      <c r="H30" s="64">
        <f>ASIN(Tabla3[[#This Row],[SEN]])</f>
        <v>1.3962634015954634</v>
      </c>
      <c r="I30" s="10">
        <f>DEGREES(Tabla3[[#This Row],[ASEN]])</f>
        <v>79.999999999999986</v>
      </c>
      <c r="J30" s="63">
        <f>ATAN(Tabla3[[#This Row],[TG]])</f>
        <v>-1.3962634015954638</v>
      </c>
      <c r="K30" s="63">
        <f>DEGREES(Tabla3[[#This Row],[ATAN]])</f>
        <v>-80.000000000000014</v>
      </c>
    </row>
    <row r="31" spans="2:11" x14ac:dyDescent="0.25">
      <c r="B31" s="5">
        <f t="shared" si="0"/>
        <v>90</v>
      </c>
      <c r="C31">
        <f>COS(RADIANS(Tabla3[[#This Row],[Ángulo]]))</f>
        <v>6.1257422745431001E-17</v>
      </c>
      <c r="D31">
        <f>SIN(RADIANS(Tabla3[[#This Row],[Ángulo]]))</f>
        <v>1</v>
      </c>
      <c r="E31">
        <f>TAN(RADIANS(Tabla3[[#This Row],[Ángulo]]))</f>
        <v>1.6324552277619072E+16</v>
      </c>
      <c r="F31" s="10">
        <f>ACOS(Tabla3[[#This Row],[COS]])</f>
        <v>1.5707963267948966</v>
      </c>
      <c r="G31" s="10">
        <f>DEGREES(Tabla3[[#This Row],[ACOS]])</f>
        <v>90</v>
      </c>
      <c r="H31" s="64">
        <f>ASIN(Tabla3[[#This Row],[SEN]])</f>
        <v>1.5707963267948966</v>
      </c>
      <c r="I31" s="10">
        <f>DEGREES(Tabla3[[#This Row],[ASEN]])</f>
        <v>90</v>
      </c>
      <c r="J31" s="63">
        <f>ATAN(Tabla3[[#This Row],[TG]])</f>
        <v>1.5707963267948966</v>
      </c>
      <c r="K31" s="63">
        <f>DEGREES(Tabla3[[#This Row],[ATAN]])</f>
        <v>90</v>
      </c>
    </row>
    <row r="32" spans="2:11" x14ac:dyDescent="0.25">
      <c r="B32" s="5">
        <f>B31-10</f>
        <v>80</v>
      </c>
      <c r="C32">
        <f>COS(RADIANS(Tabla3[[#This Row],[Ángulo]]))</f>
        <v>0.17364817766693041</v>
      </c>
      <c r="D32">
        <f>SIN(RADIANS(Tabla3[[#This Row],[Ángulo]]))</f>
        <v>0.98480775301220802</v>
      </c>
      <c r="E32">
        <f>TAN(RADIANS(Tabla3[[#This Row],[Ángulo]]))</f>
        <v>5.6712818196177066</v>
      </c>
      <c r="F32" s="10">
        <f>ACOS(Tabla3[[#This Row],[COS]])</f>
        <v>1.3962634015954636</v>
      </c>
      <c r="G32" s="10">
        <f>DEGREES(Tabla3[[#This Row],[ACOS]])</f>
        <v>80</v>
      </c>
      <c r="H32" s="64">
        <f>ASIN(Tabla3[[#This Row],[SEN]])</f>
        <v>1.3962634015954634</v>
      </c>
      <c r="I32" s="10">
        <f>DEGREES(Tabla3[[#This Row],[ASEN]])</f>
        <v>79.999999999999986</v>
      </c>
      <c r="J32" s="63">
        <f>ATAN(Tabla3[[#This Row],[TG]])</f>
        <v>1.3962634015954636</v>
      </c>
      <c r="K32" s="63">
        <f>DEGREES(Tabla3[[#This Row],[ATAN]])</f>
        <v>80</v>
      </c>
    </row>
    <row r="33" spans="2:11" x14ac:dyDescent="0.25">
      <c r="B33" s="5">
        <f t="shared" si="0"/>
        <v>70</v>
      </c>
      <c r="C33">
        <f>COS(RADIANS(Tabla3[[#This Row],[Ángulo]]))</f>
        <v>0.34202014332566882</v>
      </c>
      <c r="D33">
        <f>SIN(RADIANS(Tabla3[[#This Row],[Ángulo]]))</f>
        <v>0.93969262078590832</v>
      </c>
      <c r="E33">
        <f>TAN(RADIANS(Tabla3[[#This Row],[Ángulo]]))</f>
        <v>2.7474774194546216</v>
      </c>
      <c r="F33" s="10">
        <f>ACOS(Tabla3[[#This Row],[COS]])</f>
        <v>1.2217304763960306</v>
      </c>
      <c r="G33" s="10">
        <f>DEGREES(Tabla3[[#This Row],[ACOS]])</f>
        <v>70</v>
      </c>
      <c r="H33" s="64">
        <f>ASIN(Tabla3[[#This Row],[SEN]])</f>
        <v>1.2217304763960304</v>
      </c>
      <c r="I33" s="10">
        <f>DEGREES(Tabla3[[#This Row],[ASEN]])</f>
        <v>69.999999999999986</v>
      </c>
      <c r="J33" s="63">
        <f>ATAN(Tabla3[[#This Row],[TG]])</f>
        <v>1.2217304763960306</v>
      </c>
      <c r="K33" s="63">
        <f>DEGREES(Tabla3[[#This Row],[ATAN]])</f>
        <v>70</v>
      </c>
    </row>
    <row r="34" spans="2:11" x14ac:dyDescent="0.25">
      <c r="B34" s="5">
        <f t="shared" si="0"/>
        <v>60</v>
      </c>
      <c r="C34">
        <f>COS(RADIANS(Tabla3[[#This Row],[Ángulo]]))</f>
        <v>0.50000000000000011</v>
      </c>
      <c r="D34">
        <f>SIN(RADIANS(Tabla3[[#This Row],[Ángulo]]))</f>
        <v>0.8660254037844386</v>
      </c>
      <c r="E34">
        <f>TAN(RADIANS(Tabla3[[#This Row],[Ángulo]]))</f>
        <v>1.7320508075688767</v>
      </c>
      <c r="F34" s="10">
        <f>ACOS(Tabla3[[#This Row],[COS]])</f>
        <v>1.0471975511965974</v>
      </c>
      <c r="G34" s="10">
        <f>DEGREES(Tabla3[[#This Row],[ACOS]])</f>
        <v>59.999999999999986</v>
      </c>
      <c r="H34" s="64">
        <f>ASIN(Tabla3[[#This Row],[SEN]])</f>
        <v>1.0471975511965976</v>
      </c>
      <c r="I34" s="10">
        <f>DEGREES(Tabla3[[#This Row],[ASEN]])</f>
        <v>59.999999999999993</v>
      </c>
      <c r="J34" s="63">
        <f>ATAN(Tabla3[[#This Row],[TG]])</f>
        <v>1.0471975511965976</v>
      </c>
      <c r="K34" s="63">
        <f>DEGREES(Tabla3[[#This Row],[ATAN]])</f>
        <v>59.999999999999993</v>
      </c>
    </row>
    <row r="35" spans="2:11" x14ac:dyDescent="0.25">
      <c r="B35" s="5">
        <f t="shared" si="0"/>
        <v>50</v>
      </c>
      <c r="C35">
        <f>COS(RADIANS(Tabla3[[#This Row],[Ángulo]]))</f>
        <v>0.64278760968653936</v>
      </c>
      <c r="D35">
        <f>SIN(RADIANS(Tabla3[[#This Row],[Ángulo]]))</f>
        <v>0.76604444311897801</v>
      </c>
      <c r="E35">
        <f>TAN(RADIANS(Tabla3[[#This Row],[Ángulo]]))</f>
        <v>1.19175359259421</v>
      </c>
      <c r="F35" s="10">
        <f>ACOS(Tabla3[[#This Row],[COS]])</f>
        <v>0.87266462599716454</v>
      </c>
      <c r="G35" s="10">
        <f>DEGREES(Tabla3[[#This Row],[ACOS]])</f>
        <v>49.999999999999986</v>
      </c>
      <c r="H35" s="64">
        <f>ASIN(Tabla3[[#This Row],[SEN]])</f>
        <v>0.87266462599716466</v>
      </c>
      <c r="I35" s="10">
        <f>DEGREES(Tabla3[[#This Row],[ASEN]])</f>
        <v>49.999999999999993</v>
      </c>
      <c r="J35" s="63">
        <f>ATAN(Tabla3[[#This Row],[TG]])</f>
        <v>0.87266462599716477</v>
      </c>
      <c r="K35" s="63">
        <f>DEGREES(Tabla3[[#This Row],[ATAN]])</f>
        <v>50</v>
      </c>
    </row>
    <row r="36" spans="2:11" x14ac:dyDescent="0.25">
      <c r="B36" s="5">
        <f t="shared" si="0"/>
        <v>40</v>
      </c>
      <c r="C36">
        <f>COS(RADIANS(Tabla3[[#This Row],[Ángulo]]))</f>
        <v>0.76604444311897801</v>
      </c>
      <c r="D36">
        <f>SIN(RADIANS(Tabla3[[#This Row],[Ángulo]]))</f>
        <v>0.64278760968653925</v>
      </c>
      <c r="E36">
        <f>TAN(RADIANS(Tabla3[[#This Row],[Ángulo]]))</f>
        <v>0.83909963117727993</v>
      </c>
      <c r="F36" s="10">
        <f>ACOS(Tabla3[[#This Row],[COS]])</f>
        <v>0.6981317007977319</v>
      </c>
      <c r="G36" s="10">
        <f>DEGREES(Tabla3[[#This Row],[ACOS]])</f>
        <v>40.000000000000007</v>
      </c>
      <c r="H36" s="64">
        <f>ASIN(Tabla3[[#This Row],[SEN]])</f>
        <v>0.69813170079773168</v>
      </c>
      <c r="I36" s="10">
        <f>DEGREES(Tabla3[[#This Row],[ASEN]])</f>
        <v>39.999999999999993</v>
      </c>
      <c r="J36" s="63">
        <f>ATAN(Tabla3[[#This Row],[TG]])</f>
        <v>0.69813170079773179</v>
      </c>
      <c r="K36" s="63">
        <f>DEGREES(Tabla3[[#This Row],[ATAN]])</f>
        <v>40</v>
      </c>
    </row>
    <row r="37" spans="2:11" x14ac:dyDescent="0.25">
      <c r="B37" s="5">
        <f t="shared" si="0"/>
        <v>30</v>
      </c>
      <c r="C37">
        <f>COS(RADIANS(Tabla3[[#This Row],[Ángulo]]))</f>
        <v>0.86602540378443871</v>
      </c>
      <c r="D37">
        <f>SIN(RADIANS(Tabla3[[#This Row],[Ángulo]]))</f>
        <v>0.49999999999999994</v>
      </c>
      <c r="E37">
        <f>TAN(RADIANS(Tabla3[[#This Row],[Ángulo]]))</f>
        <v>0.57735026918962573</v>
      </c>
      <c r="F37" s="10">
        <f>ACOS(Tabla3[[#This Row],[COS]])</f>
        <v>0.5235987755982987</v>
      </c>
      <c r="G37" s="10">
        <f>DEGREES(Tabla3[[#This Row],[ACOS]])</f>
        <v>29.999999999999993</v>
      </c>
      <c r="H37" s="64">
        <f>ASIN(Tabla3[[#This Row],[SEN]])</f>
        <v>0.52359877559829882</v>
      </c>
      <c r="I37" s="10">
        <f>DEGREES(Tabla3[[#This Row],[ASEN]])</f>
        <v>29.999999999999996</v>
      </c>
      <c r="J37" s="63">
        <f>ATAN(Tabla3[[#This Row],[TG]])</f>
        <v>0.52359877559829882</v>
      </c>
      <c r="K37" s="63">
        <f>DEGREES(Tabla3[[#This Row],[ATAN]])</f>
        <v>29.999999999999996</v>
      </c>
    </row>
    <row r="38" spans="2:11" x14ac:dyDescent="0.25">
      <c r="B38" s="5">
        <f t="shared" si="0"/>
        <v>20</v>
      </c>
      <c r="C38">
        <f>COS(RADIANS(Tabla3[[#This Row],[Ángulo]]))</f>
        <v>0.93969262078590843</v>
      </c>
      <c r="D38">
        <f>SIN(RADIANS(Tabla3[[#This Row],[Ángulo]]))</f>
        <v>0.34202014332566871</v>
      </c>
      <c r="E38">
        <f>TAN(RADIANS(Tabla3[[#This Row],[Ángulo]]))</f>
        <v>0.36397023426620234</v>
      </c>
      <c r="F38" s="10">
        <f>ACOS(Tabla3[[#This Row],[COS]])</f>
        <v>0.34906585039886573</v>
      </c>
      <c r="G38" s="10">
        <f>DEGREES(Tabla3[[#This Row],[ACOS]])</f>
        <v>19.999999999999989</v>
      </c>
      <c r="H38" s="64">
        <f>ASIN(Tabla3[[#This Row],[SEN]])</f>
        <v>0.3490658503988659</v>
      </c>
      <c r="I38" s="10">
        <f>DEGREES(Tabla3[[#This Row],[ASEN]])</f>
        <v>20</v>
      </c>
      <c r="J38" s="63">
        <f>ATAN(Tabla3[[#This Row],[TG]])</f>
        <v>0.3490658503988659</v>
      </c>
      <c r="K38" s="63">
        <f>DEGREES(Tabla3[[#This Row],[ATAN]])</f>
        <v>20</v>
      </c>
    </row>
    <row r="39" spans="2:11" x14ac:dyDescent="0.25">
      <c r="B39" s="5">
        <f t="shared" si="0"/>
        <v>10</v>
      </c>
      <c r="C39">
        <f>COS(RADIANS(Tabla3[[#This Row],[Ángulo]]))</f>
        <v>0.98480775301220802</v>
      </c>
      <c r="D39">
        <f>SIN(RADIANS(Tabla3[[#This Row],[Ángulo]]))</f>
        <v>0.17364817766693033</v>
      </c>
      <c r="E39">
        <f>TAN(RADIANS(Tabla3[[#This Row],[Ángulo]]))</f>
        <v>0.17632698070846498</v>
      </c>
      <c r="F39" s="10">
        <f>ACOS(Tabla3[[#This Row],[COS]])</f>
        <v>0.1745329251994332</v>
      </c>
      <c r="G39" s="10">
        <f>DEGREES(Tabla3[[#This Row],[ACOS]])</f>
        <v>10.000000000000014</v>
      </c>
      <c r="H39" s="64">
        <f>ASIN(Tabla3[[#This Row],[SEN]])</f>
        <v>0.17453292519943295</v>
      </c>
      <c r="I39" s="10">
        <f>DEGREES(Tabla3[[#This Row],[ASEN]])</f>
        <v>10</v>
      </c>
      <c r="J39" s="63">
        <f>ATAN(Tabla3[[#This Row],[TG]])</f>
        <v>0.17453292519943295</v>
      </c>
      <c r="K39" s="63">
        <f>DEGREES(Tabla3[[#This Row],[ATAN]])</f>
        <v>10</v>
      </c>
    </row>
    <row r="40" spans="2:11" x14ac:dyDescent="0.25">
      <c r="B40" s="5">
        <f t="shared" si="0"/>
        <v>0</v>
      </c>
      <c r="C40">
        <f>COS(RADIANS(Tabla3[[#This Row],[Ángulo]]))</f>
        <v>1</v>
      </c>
      <c r="D40">
        <f>SIN(RADIANS(Tabla3[[#This Row],[Ángulo]]))</f>
        <v>0</v>
      </c>
      <c r="E40">
        <f>TAN(RADIANS(Tabla3[[#This Row],[Ángulo]]))</f>
        <v>0</v>
      </c>
      <c r="F40" s="10">
        <f>ACOS(Tabla3[[#This Row],[COS]])</f>
        <v>0</v>
      </c>
      <c r="G40" s="10">
        <f>DEGREES(Tabla3[[#This Row],[ACOS]])</f>
        <v>0</v>
      </c>
      <c r="H40" s="64">
        <f>ASIN(Tabla3[[#This Row],[SEN]])</f>
        <v>0</v>
      </c>
      <c r="I40" s="10">
        <f>DEGREES(Tabla3[[#This Row],[ASEN]])</f>
        <v>0</v>
      </c>
      <c r="J40" s="63">
        <f>ATAN(Tabla3[[#This Row],[TG]])</f>
        <v>0</v>
      </c>
      <c r="K40" s="63">
        <f>DEGREES(Tabla3[[#This Row],[ATAN]])</f>
        <v>0</v>
      </c>
    </row>
    <row r="41" spans="2:11" x14ac:dyDescent="0.25">
      <c r="B41">
        <f>B40-10</f>
        <v>-10</v>
      </c>
      <c r="C41">
        <f>COS(RADIANS(Tabla3[[#This Row],[Ángulo]]))</f>
        <v>0.98480775301220802</v>
      </c>
      <c r="D41">
        <f>SIN(RADIANS(Tabla3[[#This Row],[Ángulo]]))</f>
        <v>-0.17364817766693033</v>
      </c>
      <c r="E41">
        <f>TAN(RADIANS(Tabla3[[#This Row],[Ángulo]]))</f>
        <v>-0.17632698070846498</v>
      </c>
      <c r="F41" s="10">
        <f>ACOS(Tabla3[[#This Row],[COS]])</f>
        <v>0.1745329251994332</v>
      </c>
      <c r="G41" s="10">
        <f>DEGREES(Tabla3[[#This Row],[ACOS]])</f>
        <v>10.000000000000014</v>
      </c>
      <c r="H41" s="10">
        <f>ASIN(Tabla3[[#This Row],[SEN]])</f>
        <v>-0.17453292519943295</v>
      </c>
      <c r="I41" s="10">
        <f>DEGREES(Tabla3[[#This Row],[ASEN]])</f>
        <v>-10</v>
      </c>
      <c r="J41" s="10">
        <f>ATAN(Tabla3[[#This Row],[TG]])</f>
        <v>-0.17453292519943295</v>
      </c>
      <c r="K41" s="10">
        <f>DEGREES(Tabla3[[#This Row],[ATAN]])</f>
        <v>-10</v>
      </c>
    </row>
    <row r="42" spans="2:11" x14ac:dyDescent="0.25">
      <c r="B42">
        <f t="shared" si="0"/>
        <v>-20</v>
      </c>
      <c r="C42">
        <f>COS(RADIANS(Tabla3[[#This Row],[Ángulo]]))</f>
        <v>0.93969262078590843</v>
      </c>
      <c r="D42">
        <f>SIN(RADIANS(Tabla3[[#This Row],[Ángulo]]))</f>
        <v>-0.34202014332566871</v>
      </c>
      <c r="E42">
        <f>TAN(RADIANS(Tabla3[[#This Row],[Ángulo]]))</f>
        <v>-0.36397023426620234</v>
      </c>
      <c r="F42" s="10">
        <f>ACOS(Tabla3[[#This Row],[COS]])</f>
        <v>0.34906585039886573</v>
      </c>
      <c r="G42" s="10">
        <f>DEGREES(Tabla3[[#This Row],[ACOS]])</f>
        <v>19.999999999999989</v>
      </c>
      <c r="H42" s="10">
        <f>ASIN(Tabla3[[#This Row],[SEN]])</f>
        <v>-0.3490658503988659</v>
      </c>
      <c r="I42" s="10">
        <f>DEGREES(Tabla3[[#This Row],[ASEN]])</f>
        <v>-20</v>
      </c>
      <c r="J42" s="10">
        <f>ATAN(Tabla3[[#This Row],[TG]])</f>
        <v>-0.3490658503988659</v>
      </c>
      <c r="K42" s="10">
        <f>DEGREES(Tabla3[[#This Row],[ATAN]])</f>
        <v>-20</v>
      </c>
    </row>
    <row r="43" spans="2:11" x14ac:dyDescent="0.25">
      <c r="B43">
        <f>B42-10</f>
        <v>-30</v>
      </c>
      <c r="C43">
        <f>COS(RADIANS(Tabla3[[#This Row],[Ángulo]]))</f>
        <v>0.86602540378443871</v>
      </c>
      <c r="D43">
        <f>SIN(RADIANS(Tabla3[[#This Row],[Ángulo]]))</f>
        <v>-0.49999999999999994</v>
      </c>
      <c r="E43">
        <f>TAN(RADIANS(Tabla3[[#This Row],[Ángulo]]))</f>
        <v>-0.57735026918962573</v>
      </c>
      <c r="F43" s="10">
        <f>ACOS(Tabla3[[#This Row],[COS]])</f>
        <v>0.5235987755982987</v>
      </c>
      <c r="G43" s="10">
        <f>DEGREES(Tabla3[[#This Row],[ACOS]])</f>
        <v>29.999999999999993</v>
      </c>
      <c r="H43" s="10">
        <f>ASIN(Tabla3[[#This Row],[SEN]])</f>
        <v>-0.52359877559829882</v>
      </c>
      <c r="I43" s="10">
        <f>DEGREES(Tabla3[[#This Row],[ASEN]])</f>
        <v>-29.999999999999996</v>
      </c>
      <c r="J43" s="10">
        <f>ATAN(Tabla3[[#This Row],[TG]])</f>
        <v>-0.52359877559829882</v>
      </c>
      <c r="K43" s="10">
        <f>DEGREES(Tabla3[[#This Row],[ATAN]])</f>
        <v>-29.999999999999996</v>
      </c>
    </row>
    <row r="44" spans="2:11" x14ac:dyDescent="0.25">
      <c r="B44">
        <f t="shared" si="0"/>
        <v>-40</v>
      </c>
      <c r="C44">
        <f>COS(RADIANS(Tabla3[[#This Row],[Ángulo]]))</f>
        <v>0.76604444311897801</v>
      </c>
      <c r="D44">
        <f>SIN(RADIANS(Tabla3[[#This Row],[Ángulo]]))</f>
        <v>-0.64278760968653925</v>
      </c>
      <c r="E44">
        <f>TAN(RADIANS(Tabla3[[#This Row],[Ángulo]]))</f>
        <v>-0.83909963117727993</v>
      </c>
      <c r="F44" s="10">
        <f>ACOS(Tabla3[[#This Row],[COS]])</f>
        <v>0.6981317007977319</v>
      </c>
      <c r="G44" s="10">
        <f>DEGREES(Tabla3[[#This Row],[ACOS]])</f>
        <v>40.000000000000007</v>
      </c>
      <c r="H44" s="10">
        <f>ASIN(Tabla3[[#This Row],[SEN]])</f>
        <v>-0.69813170079773168</v>
      </c>
      <c r="I44" s="10">
        <f>DEGREES(Tabla3[[#This Row],[ASEN]])</f>
        <v>-39.999999999999993</v>
      </c>
      <c r="J44" s="10">
        <f>ATAN(Tabla3[[#This Row],[TG]])</f>
        <v>-0.69813170079773179</v>
      </c>
      <c r="K44" s="10">
        <f>DEGREES(Tabla3[[#This Row],[ATAN]])</f>
        <v>-40</v>
      </c>
    </row>
    <row r="45" spans="2:11" x14ac:dyDescent="0.25">
      <c r="B45">
        <f t="shared" si="0"/>
        <v>-50</v>
      </c>
      <c r="C45">
        <f>COS(RADIANS(Tabla3[[#This Row],[Ángulo]]))</f>
        <v>0.64278760968653936</v>
      </c>
      <c r="D45">
        <f>SIN(RADIANS(Tabla3[[#This Row],[Ángulo]]))</f>
        <v>-0.76604444311897801</v>
      </c>
      <c r="E45">
        <f>TAN(RADIANS(Tabla3[[#This Row],[Ángulo]]))</f>
        <v>-1.19175359259421</v>
      </c>
      <c r="F45" s="10">
        <f>ACOS(Tabla3[[#This Row],[COS]])</f>
        <v>0.87266462599716454</v>
      </c>
      <c r="G45" s="10">
        <f>DEGREES(Tabla3[[#This Row],[ACOS]])</f>
        <v>49.999999999999986</v>
      </c>
      <c r="H45" s="10">
        <f>ASIN(Tabla3[[#This Row],[SEN]])</f>
        <v>-0.87266462599716466</v>
      </c>
      <c r="I45" s="10">
        <f>DEGREES(Tabla3[[#This Row],[ASEN]])</f>
        <v>-49.999999999999993</v>
      </c>
      <c r="J45" s="10">
        <f>ATAN(Tabla3[[#This Row],[TG]])</f>
        <v>-0.87266462599716477</v>
      </c>
      <c r="K45" s="10">
        <f>DEGREES(Tabla3[[#This Row],[ATAN]])</f>
        <v>-50</v>
      </c>
    </row>
    <row r="46" spans="2:11" x14ac:dyDescent="0.25">
      <c r="B46">
        <f t="shared" si="0"/>
        <v>-60</v>
      </c>
      <c r="C46">
        <f>COS(RADIANS(Tabla3[[#This Row],[Ángulo]]))</f>
        <v>0.50000000000000011</v>
      </c>
      <c r="D46">
        <f>SIN(RADIANS(Tabla3[[#This Row],[Ángulo]]))</f>
        <v>-0.8660254037844386</v>
      </c>
      <c r="E46">
        <f>TAN(RADIANS(Tabla3[[#This Row],[Ángulo]]))</f>
        <v>-1.7320508075688767</v>
      </c>
      <c r="F46" s="10">
        <f>ACOS(Tabla3[[#This Row],[COS]])</f>
        <v>1.0471975511965974</v>
      </c>
      <c r="G46" s="10">
        <f>DEGREES(Tabla3[[#This Row],[ACOS]])</f>
        <v>59.999999999999986</v>
      </c>
      <c r="H46" s="10">
        <f>ASIN(Tabla3[[#This Row],[SEN]])</f>
        <v>-1.0471975511965976</v>
      </c>
      <c r="I46" s="10">
        <f>DEGREES(Tabla3[[#This Row],[ASEN]])</f>
        <v>-59.999999999999993</v>
      </c>
      <c r="J46" s="10">
        <f>ATAN(Tabla3[[#This Row],[TG]])</f>
        <v>-1.0471975511965976</v>
      </c>
      <c r="K46" s="10">
        <f>DEGREES(Tabla3[[#This Row],[ATAN]])</f>
        <v>-59.999999999999993</v>
      </c>
    </row>
    <row r="47" spans="2:11" x14ac:dyDescent="0.25">
      <c r="B47">
        <f t="shared" si="0"/>
        <v>-70</v>
      </c>
      <c r="C47">
        <f>COS(RADIANS(Tabla3[[#This Row],[Ángulo]]))</f>
        <v>0.34202014332566882</v>
      </c>
      <c r="D47">
        <f>SIN(RADIANS(Tabla3[[#This Row],[Ángulo]]))</f>
        <v>-0.93969262078590832</v>
      </c>
      <c r="E47">
        <f>TAN(RADIANS(Tabla3[[#This Row],[Ángulo]]))</f>
        <v>-2.7474774194546216</v>
      </c>
      <c r="F47" s="10">
        <f>ACOS(Tabla3[[#This Row],[COS]])</f>
        <v>1.2217304763960306</v>
      </c>
      <c r="G47" s="10">
        <f>DEGREES(Tabla3[[#This Row],[ACOS]])</f>
        <v>70</v>
      </c>
      <c r="H47" s="10">
        <f>ASIN(Tabla3[[#This Row],[SEN]])</f>
        <v>-1.2217304763960308</v>
      </c>
      <c r="I47" s="10">
        <f>DEGREES(Tabla3[[#This Row],[ASEN]])</f>
        <v>-70.000000000000014</v>
      </c>
      <c r="J47" s="10">
        <f>ATAN(Tabla3[[#This Row],[TG]])</f>
        <v>-1.2217304763960306</v>
      </c>
      <c r="K47" s="10">
        <f>DEGREES(Tabla3[[#This Row],[ATAN]])</f>
        <v>-70</v>
      </c>
    </row>
    <row r="48" spans="2:11" x14ac:dyDescent="0.25">
      <c r="B48">
        <f t="shared" si="0"/>
        <v>-80</v>
      </c>
      <c r="C48">
        <f>COS(RADIANS(Tabla3[[#This Row],[Ángulo]]))</f>
        <v>0.17364817766693041</v>
      </c>
      <c r="D48">
        <f>SIN(RADIANS(Tabla3[[#This Row],[Ángulo]]))</f>
        <v>-0.98480775301220802</v>
      </c>
      <c r="E48">
        <f>TAN(RADIANS(Tabla3[[#This Row],[Ángulo]]))</f>
        <v>-5.6712818196177066</v>
      </c>
      <c r="F48" s="10">
        <f>ACOS(Tabla3[[#This Row],[COS]])</f>
        <v>1.3962634015954636</v>
      </c>
      <c r="G48" s="10">
        <f>DEGREES(Tabla3[[#This Row],[ACOS]])</f>
        <v>80</v>
      </c>
      <c r="H48" s="10">
        <f>ASIN(Tabla3[[#This Row],[SEN]])</f>
        <v>-1.396263401595464</v>
      </c>
      <c r="I48" s="10">
        <f>DEGREES(Tabla3[[#This Row],[ASEN]])</f>
        <v>-80.000000000000028</v>
      </c>
      <c r="J48" s="10">
        <f>ATAN(Tabla3[[#This Row],[TG]])</f>
        <v>-1.3962634015954636</v>
      </c>
      <c r="K48" s="10">
        <f>DEGREES(Tabla3[[#This Row],[ATAN]])</f>
        <v>-80</v>
      </c>
    </row>
    <row r="49" spans="2:11" x14ac:dyDescent="0.25">
      <c r="B49">
        <f t="shared" si="0"/>
        <v>-90</v>
      </c>
      <c r="C49">
        <f>COS(RADIANS(Tabla3[[#This Row],[Ángulo]]))</f>
        <v>6.1257422745431001E-17</v>
      </c>
      <c r="D49">
        <f>SIN(RADIANS(Tabla3[[#This Row],[Ángulo]]))</f>
        <v>-1</v>
      </c>
      <c r="E49">
        <f>TAN(RADIANS(Tabla3[[#This Row],[Ángulo]]))</f>
        <v>-1.6324552277619072E+16</v>
      </c>
      <c r="F49" s="10">
        <f>ACOS(Tabla3[[#This Row],[COS]])</f>
        <v>1.5707963267948966</v>
      </c>
      <c r="G49" s="10">
        <f>DEGREES(Tabla3[[#This Row],[ACOS]])</f>
        <v>90</v>
      </c>
      <c r="H49" s="10">
        <f>ASIN(Tabla3[[#This Row],[SEN]])</f>
        <v>-1.5707963267948966</v>
      </c>
      <c r="I49" s="10">
        <f>DEGREES(Tabla3[[#This Row],[ASEN]])</f>
        <v>-90</v>
      </c>
      <c r="J49" s="10">
        <f>ATAN(Tabla3[[#This Row],[TG]])</f>
        <v>-1.5707963267948966</v>
      </c>
      <c r="K49" s="10">
        <f>DEGREES(Tabla3[[#This Row],[ATAN]])</f>
        <v>-90</v>
      </c>
    </row>
    <row r="50" spans="2:11" x14ac:dyDescent="0.25">
      <c r="B50">
        <f t="shared" si="0"/>
        <v>-100</v>
      </c>
      <c r="C50">
        <f>COS(RADIANS(Tabla3[[#This Row],[Ángulo]]))</f>
        <v>-0.1736481776669303</v>
      </c>
      <c r="D50">
        <f>SIN(RADIANS(Tabla3[[#This Row],[Ángulo]]))</f>
        <v>-0.98480775301220802</v>
      </c>
      <c r="E50">
        <f>TAN(RADIANS(Tabla3[[#This Row],[Ángulo]]))</f>
        <v>5.6712818196177111</v>
      </c>
      <c r="F50" s="10">
        <f>ACOS(Tabla3[[#This Row],[COS]])</f>
        <v>1.7453292519943295</v>
      </c>
      <c r="G50" s="10">
        <f>DEGREES(Tabla3[[#This Row],[ACOS]])</f>
        <v>100</v>
      </c>
      <c r="H50" s="10">
        <f>ASIN(Tabla3[[#This Row],[SEN]])</f>
        <v>-1.396263401595464</v>
      </c>
      <c r="I50" s="10">
        <f>DEGREES(Tabla3[[#This Row],[ASEN]])</f>
        <v>-80.000000000000028</v>
      </c>
      <c r="J50" s="10">
        <f>ATAN(Tabla3[[#This Row],[TG]])</f>
        <v>1.3962634015954638</v>
      </c>
      <c r="K50" s="10">
        <f>DEGREES(Tabla3[[#This Row],[ATAN]])</f>
        <v>80.000000000000014</v>
      </c>
    </row>
    <row r="51" spans="2:11" x14ac:dyDescent="0.25">
      <c r="B51">
        <f t="shared" si="0"/>
        <v>-110</v>
      </c>
      <c r="C51">
        <f>COS(RADIANS(Tabla3[[#This Row],[Ángulo]]))</f>
        <v>-0.34202014332566871</v>
      </c>
      <c r="D51">
        <f>SIN(RADIANS(Tabla3[[#This Row],[Ángulo]]))</f>
        <v>-0.93969262078590843</v>
      </c>
      <c r="E51">
        <f>TAN(RADIANS(Tabla3[[#This Row],[Ángulo]]))</f>
        <v>2.7474774194546225</v>
      </c>
      <c r="F51" s="10">
        <f>ACOS(Tabla3[[#This Row],[COS]])</f>
        <v>1.9198621771937625</v>
      </c>
      <c r="G51" s="10">
        <f>DEGREES(Tabla3[[#This Row],[ACOS]])</f>
        <v>110</v>
      </c>
      <c r="H51" s="10">
        <f>ASIN(Tabla3[[#This Row],[SEN]])</f>
        <v>-1.2217304763960308</v>
      </c>
      <c r="I51" s="10">
        <f>DEGREES(Tabla3[[#This Row],[ASEN]])</f>
        <v>-70.000000000000014</v>
      </c>
      <c r="J51" s="10">
        <f>ATAN(Tabla3[[#This Row],[TG]])</f>
        <v>1.2217304763960308</v>
      </c>
      <c r="K51" s="10">
        <f>DEGREES(Tabla3[[#This Row],[ATAN]])</f>
        <v>70.000000000000014</v>
      </c>
    </row>
    <row r="52" spans="2:11" x14ac:dyDescent="0.25">
      <c r="B52">
        <f>B51-10</f>
        <v>-120</v>
      </c>
      <c r="C52">
        <f>COS(RADIANS(Tabla3[[#This Row],[Ángulo]]))</f>
        <v>-0.49999999999999978</v>
      </c>
      <c r="D52">
        <f>SIN(RADIANS(Tabla3[[#This Row],[Ángulo]]))</f>
        <v>-0.86602540378443871</v>
      </c>
      <c r="E52">
        <f>TAN(RADIANS(Tabla3[[#This Row],[Ángulo]]))</f>
        <v>1.7320508075688783</v>
      </c>
      <c r="F52" s="10">
        <f>ACOS(Tabla3[[#This Row],[COS]])</f>
        <v>2.0943951023931953</v>
      </c>
      <c r="G52" s="10">
        <f>DEGREES(Tabla3[[#This Row],[ACOS]])</f>
        <v>119.99999999999999</v>
      </c>
      <c r="H52" s="10">
        <f>ASIN(Tabla3[[#This Row],[SEN]])</f>
        <v>-1.0471975511965981</v>
      </c>
      <c r="I52" s="10">
        <f>DEGREES(Tabla3[[#This Row],[ASEN]])</f>
        <v>-60.000000000000021</v>
      </c>
      <c r="J52" s="10">
        <f>ATAN(Tabla3[[#This Row],[TG]])</f>
        <v>1.0471975511965981</v>
      </c>
      <c r="K52" s="10">
        <f>DEGREES(Tabla3[[#This Row],[ATAN]])</f>
        <v>60.000000000000021</v>
      </c>
    </row>
    <row r="53" spans="2:11" x14ac:dyDescent="0.25">
      <c r="B53">
        <f t="shared" si="0"/>
        <v>-130</v>
      </c>
      <c r="C53">
        <f>COS(RADIANS(Tabla3[[#This Row],[Ángulo]]))</f>
        <v>-0.64278760968653936</v>
      </c>
      <c r="D53">
        <f>SIN(RADIANS(Tabla3[[#This Row],[Ángulo]]))</f>
        <v>-0.76604444311897801</v>
      </c>
      <c r="E53">
        <f>TAN(RADIANS(Tabla3[[#This Row],[Ángulo]]))</f>
        <v>1.19175359259421</v>
      </c>
      <c r="F53" s="10">
        <f>ACOS(Tabla3[[#This Row],[COS]])</f>
        <v>2.2689280275926285</v>
      </c>
      <c r="G53" s="10">
        <f>DEGREES(Tabla3[[#This Row],[ACOS]])</f>
        <v>130</v>
      </c>
      <c r="H53" s="10">
        <f>ASIN(Tabla3[[#This Row],[SEN]])</f>
        <v>-0.87266462599716466</v>
      </c>
      <c r="I53" s="10">
        <f>DEGREES(Tabla3[[#This Row],[ASEN]])</f>
        <v>-49.999999999999993</v>
      </c>
      <c r="J53" s="10">
        <f>ATAN(Tabla3[[#This Row],[TG]])</f>
        <v>0.87266462599716477</v>
      </c>
      <c r="K53" s="10">
        <f>DEGREES(Tabla3[[#This Row],[ATAN]])</f>
        <v>50</v>
      </c>
    </row>
    <row r="54" spans="2:11" x14ac:dyDescent="0.25">
      <c r="B54">
        <f t="shared" si="0"/>
        <v>-140</v>
      </c>
      <c r="C54">
        <f>COS(RADIANS(Tabla3[[#This Row],[Ángulo]]))</f>
        <v>-0.7660444431189779</v>
      </c>
      <c r="D54">
        <f>SIN(RADIANS(Tabla3[[#This Row],[Ángulo]]))</f>
        <v>-0.64278760968653947</v>
      </c>
      <c r="E54">
        <f>TAN(RADIANS(Tabla3[[#This Row],[Ángulo]]))</f>
        <v>0.83909963117728037</v>
      </c>
      <c r="F54" s="10">
        <f>ACOS(Tabla3[[#This Row],[COS]])</f>
        <v>2.4434609527920612</v>
      </c>
      <c r="G54" s="10">
        <f>DEGREES(Tabla3[[#This Row],[ACOS]])</f>
        <v>140</v>
      </c>
      <c r="H54" s="10">
        <f>ASIN(Tabla3[[#This Row],[SEN]])</f>
        <v>-0.69813170079773201</v>
      </c>
      <c r="I54" s="10">
        <f>DEGREES(Tabla3[[#This Row],[ASEN]])</f>
        <v>-40.000000000000014</v>
      </c>
      <c r="J54" s="10">
        <f>ATAN(Tabla3[[#This Row],[TG]])</f>
        <v>0.69813170079773201</v>
      </c>
      <c r="K54" s="10">
        <f>DEGREES(Tabla3[[#This Row],[ATAN]])</f>
        <v>40.000000000000014</v>
      </c>
    </row>
    <row r="55" spans="2:11" x14ac:dyDescent="0.25">
      <c r="B55">
        <f t="shared" si="0"/>
        <v>-150</v>
      </c>
      <c r="C55">
        <f>COS(RADIANS(Tabla3[[#This Row],[Ángulo]]))</f>
        <v>-0.86602540378443871</v>
      </c>
      <c r="D55">
        <f>SIN(RADIANS(Tabla3[[#This Row],[Ángulo]]))</f>
        <v>-0.49999999999999994</v>
      </c>
      <c r="E55">
        <f>TAN(RADIANS(Tabla3[[#This Row],[Ángulo]]))</f>
        <v>0.57735026918962573</v>
      </c>
      <c r="F55" s="10">
        <f>ACOS(Tabla3[[#This Row],[COS]])</f>
        <v>2.6179938779914949</v>
      </c>
      <c r="G55" s="10">
        <f>DEGREES(Tabla3[[#This Row],[ACOS]])</f>
        <v>150.00000000000003</v>
      </c>
      <c r="H55" s="10">
        <f>ASIN(Tabla3[[#This Row],[SEN]])</f>
        <v>-0.52359877559829882</v>
      </c>
      <c r="I55" s="10">
        <f>DEGREES(Tabla3[[#This Row],[ASEN]])</f>
        <v>-29.999999999999996</v>
      </c>
      <c r="J55" s="10">
        <f>ATAN(Tabla3[[#This Row],[TG]])</f>
        <v>0.52359877559829882</v>
      </c>
      <c r="K55" s="10">
        <f>DEGREES(Tabla3[[#This Row],[ATAN]])</f>
        <v>29.999999999999996</v>
      </c>
    </row>
    <row r="56" spans="2:11" x14ac:dyDescent="0.25">
      <c r="B56">
        <f t="shared" si="0"/>
        <v>-160</v>
      </c>
      <c r="C56">
        <f>COS(RADIANS(Tabla3[[#This Row],[Ángulo]]))</f>
        <v>-0.93969262078590832</v>
      </c>
      <c r="D56">
        <f>SIN(RADIANS(Tabla3[[#This Row],[Ángulo]]))</f>
        <v>-0.34202014332566888</v>
      </c>
      <c r="E56">
        <f>TAN(RADIANS(Tabla3[[#This Row],[Ángulo]]))</f>
        <v>0.36397023426620256</v>
      </c>
      <c r="F56" s="10">
        <f>ACOS(Tabla3[[#This Row],[COS]])</f>
        <v>2.7925268031909276</v>
      </c>
      <c r="G56" s="10">
        <f>DEGREES(Tabla3[[#This Row],[ACOS]])</f>
        <v>160.00000000000003</v>
      </c>
      <c r="H56" s="10">
        <f>ASIN(Tabla3[[#This Row],[SEN]])</f>
        <v>-0.34906585039886612</v>
      </c>
      <c r="I56" s="10">
        <f>DEGREES(Tabla3[[#This Row],[ASEN]])</f>
        <v>-20.000000000000011</v>
      </c>
      <c r="J56" s="10">
        <f>ATAN(Tabla3[[#This Row],[TG]])</f>
        <v>0.34906585039886612</v>
      </c>
      <c r="K56" s="10">
        <f>DEGREES(Tabla3[[#This Row],[ATAN]])</f>
        <v>20.000000000000011</v>
      </c>
    </row>
    <row r="57" spans="2:11" x14ac:dyDescent="0.25">
      <c r="B57">
        <f t="shared" si="0"/>
        <v>-170</v>
      </c>
      <c r="C57">
        <f>COS(RADIANS(Tabla3[[#This Row],[Ángulo]]))</f>
        <v>-0.98480775301220802</v>
      </c>
      <c r="D57">
        <f>SIN(RADIANS(Tabla3[[#This Row],[Ángulo]]))</f>
        <v>-0.17364817766693028</v>
      </c>
      <c r="E57">
        <f>TAN(RADIANS(Tabla3[[#This Row],[Ángulo]]))</f>
        <v>0.17632698070846489</v>
      </c>
      <c r="F57" s="10">
        <f>ACOS(Tabla3[[#This Row],[COS]])</f>
        <v>2.9670597283903604</v>
      </c>
      <c r="G57" s="10">
        <f>DEGREES(Tabla3[[#This Row],[ACOS]])</f>
        <v>170</v>
      </c>
      <c r="H57" s="10">
        <f>ASIN(Tabla3[[#This Row],[SEN]])</f>
        <v>-0.17453292519943289</v>
      </c>
      <c r="I57" s="10">
        <f>DEGREES(Tabla3[[#This Row],[ASEN]])</f>
        <v>-9.9999999999999964</v>
      </c>
      <c r="J57" s="10">
        <f>ATAN(Tabla3[[#This Row],[TG]])</f>
        <v>0.17453292519943289</v>
      </c>
      <c r="K57" s="10">
        <f>DEGREES(Tabla3[[#This Row],[ATAN]])</f>
        <v>9.9999999999999964</v>
      </c>
    </row>
    <row r="58" spans="2:11" x14ac:dyDescent="0.25">
      <c r="B58">
        <f>B57-10</f>
        <v>-180</v>
      </c>
      <c r="C58">
        <f>COS(RADIANS(Tabla3[[#This Row],[Ángulo]]))</f>
        <v>-1</v>
      </c>
      <c r="D58">
        <f>SIN(RADIANS(Tabla3[[#This Row],[Ángulo]]))</f>
        <v>-1.22514845490862E-16</v>
      </c>
      <c r="E58">
        <f>TAN(RADIANS(Tabla3[[#This Row],[Ángulo]]))</f>
        <v>1.22514845490862E-16</v>
      </c>
      <c r="F58" s="10">
        <f>ACOS(Tabla3[[#This Row],[COS]])</f>
        <v>3.1415926535897931</v>
      </c>
      <c r="G58" s="10">
        <f>DEGREES(Tabla3[[#This Row],[ACOS]])</f>
        <v>180</v>
      </c>
      <c r="H58" s="10">
        <f>ASIN(Tabla3[[#This Row],[SEN]])</f>
        <v>-1.22514845490862E-16</v>
      </c>
      <c r="I58" s="10">
        <f>DEGREES(Tabla3[[#This Row],[ASEN]])</f>
        <v>-7.0195835743237771E-15</v>
      </c>
      <c r="J58" s="10">
        <f>ATAN(Tabla3[[#This Row],[TG]])</f>
        <v>1.22514845490862E-16</v>
      </c>
      <c r="K58" s="10">
        <f>DEGREES(Tabla3[[#This Row],[ATAN]])</f>
        <v>7.0195835743237771E-15</v>
      </c>
    </row>
    <row r="59" spans="2:11" x14ac:dyDescent="0.25">
      <c r="B59">
        <f t="shared" si="0"/>
        <v>-190</v>
      </c>
      <c r="C59">
        <f>COS(RADIANS(Tabla3[[#This Row],[Ángulo]]))</f>
        <v>-0.98480775301220802</v>
      </c>
      <c r="D59">
        <f>SIN(RADIANS(Tabla3[[#This Row],[Ángulo]]))</f>
        <v>0.17364817766693047</v>
      </c>
      <c r="E59">
        <f>TAN(RADIANS(Tabla3[[#This Row],[Ángulo]]))</f>
        <v>-0.17632698070846509</v>
      </c>
      <c r="F59" s="10">
        <f>ACOS(Tabla3[[#This Row],[COS]])</f>
        <v>2.9670597283903604</v>
      </c>
      <c r="G59" s="10">
        <f>DEGREES(Tabla3[[#This Row],[ACOS]])</f>
        <v>170</v>
      </c>
      <c r="H59" s="10">
        <f>ASIN(Tabla3[[#This Row],[SEN]])</f>
        <v>0.17453292519943309</v>
      </c>
      <c r="I59" s="10">
        <f>DEGREES(Tabla3[[#This Row],[ASEN]])</f>
        <v>10.000000000000007</v>
      </c>
      <c r="J59" s="10">
        <f>ATAN(Tabla3[[#This Row],[TG]])</f>
        <v>-0.17453292519943306</v>
      </c>
      <c r="K59" s="10">
        <f>DEGREES(Tabla3[[#This Row],[ATAN]])</f>
        <v>-10.000000000000005</v>
      </c>
    </row>
    <row r="60" spans="2:11" x14ac:dyDescent="0.25">
      <c r="B60">
        <f t="shared" si="0"/>
        <v>-200</v>
      </c>
      <c r="C60">
        <f>COS(RADIANS(Tabla3[[#This Row],[Ángulo]]))</f>
        <v>-0.93969262078590843</v>
      </c>
      <c r="D60">
        <f>SIN(RADIANS(Tabla3[[#This Row],[Ángulo]]))</f>
        <v>0.34202014332566866</v>
      </c>
      <c r="E60">
        <f>TAN(RADIANS(Tabla3[[#This Row],[Ángulo]]))</f>
        <v>-0.36397023426620229</v>
      </c>
      <c r="F60" s="10">
        <f>ACOS(Tabla3[[#This Row],[COS]])</f>
        <v>2.7925268031909276</v>
      </c>
      <c r="G60" s="10">
        <f>DEGREES(Tabla3[[#This Row],[ACOS]])</f>
        <v>160.00000000000003</v>
      </c>
      <c r="H60" s="10">
        <f>ASIN(Tabla3[[#This Row],[SEN]])</f>
        <v>0.34906585039886584</v>
      </c>
      <c r="I60" s="10">
        <f>DEGREES(Tabla3[[#This Row],[ASEN]])</f>
        <v>19.999999999999996</v>
      </c>
      <c r="J60" s="10">
        <f>ATAN(Tabla3[[#This Row],[TG]])</f>
        <v>-0.34906585039886584</v>
      </c>
      <c r="K60" s="10">
        <f>DEGREES(Tabla3[[#This Row],[ATAN]])</f>
        <v>-19.999999999999996</v>
      </c>
    </row>
    <row r="61" spans="2:11" x14ac:dyDescent="0.25">
      <c r="B61">
        <f t="shared" si="0"/>
        <v>-210</v>
      </c>
      <c r="C61">
        <f>COS(RADIANS(Tabla3[[#This Row],[Ángulo]]))</f>
        <v>-0.8660254037844386</v>
      </c>
      <c r="D61">
        <f>SIN(RADIANS(Tabla3[[#This Row],[Ángulo]]))</f>
        <v>0.50000000000000011</v>
      </c>
      <c r="E61">
        <f>TAN(RADIANS(Tabla3[[#This Row],[Ángulo]]))</f>
        <v>-0.57735026918962595</v>
      </c>
      <c r="F61" s="10">
        <f>ACOS(Tabla3[[#This Row],[COS]])</f>
        <v>2.617993877991494</v>
      </c>
      <c r="G61" s="10">
        <f>DEGREES(Tabla3[[#This Row],[ACOS]])</f>
        <v>149.99999999999997</v>
      </c>
      <c r="H61" s="10">
        <f>ASIN(Tabla3[[#This Row],[SEN]])</f>
        <v>0.52359877559829904</v>
      </c>
      <c r="I61" s="10">
        <f>DEGREES(Tabla3[[#This Row],[ASEN]])</f>
        <v>30.000000000000011</v>
      </c>
      <c r="J61" s="10">
        <f>ATAN(Tabla3[[#This Row],[TG]])</f>
        <v>-0.52359877559829904</v>
      </c>
      <c r="K61" s="10">
        <f>DEGREES(Tabla3[[#This Row],[ATAN]])</f>
        <v>-30.000000000000011</v>
      </c>
    </row>
    <row r="62" spans="2:11" x14ac:dyDescent="0.25">
      <c r="B62">
        <f t="shared" si="0"/>
        <v>-220</v>
      </c>
      <c r="C62">
        <f>COS(RADIANS(Tabla3[[#This Row],[Ángulo]]))</f>
        <v>-0.76604444311897801</v>
      </c>
      <c r="D62">
        <f>SIN(RADIANS(Tabla3[[#This Row],[Ángulo]]))</f>
        <v>0.64278760968653925</v>
      </c>
      <c r="E62">
        <f>TAN(RADIANS(Tabla3[[#This Row],[Ángulo]]))</f>
        <v>-0.83909963117727993</v>
      </c>
      <c r="F62" s="10">
        <f>ACOS(Tabla3[[#This Row],[COS]])</f>
        <v>2.4434609527920612</v>
      </c>
      <c r="G62" s="10">
        <f>DEGREES(Tabla3[[#This Row],[ACOS]])</f>
        <v>140</v>
      </c>
      <c r="H62" s="10">
        <f>ASIN(Tabla3[[#This Row],[SEN]])</f>
        <v>0.69813170079773168</v>
      </c>
      <c r="I62" s="10">
        <f>DEGREES(Tabla3[[#This Row],[ASEN]])</f>
        <v>39.999999999999993</v>
      </c>
      <c r="J62" s="10">
        <f>ATAN(Tabla3[[#This Row],[TG]])</f>
        <v>-0.69813170079773179</v>
      </c>
      <c r="K62" s="10">
        <f>DEGREES(Tabla3[[#This Row],[ATAN]])</f>
        <v>-40</v>
      </c>
    </row>
    <row r="63" spans="2:11" x14ac:dyDescent="0.25">
      <c r="B63">
        <f t="shared" si="0"/>
        <v>-230</v>
      </c>
      <c r="C63">
        <f>COS(RADIANS(Tabla3[[#This Row],[Ángulo]]))</f>
        <v>-0.64278760968653947</v>
      </c>
      <c r="D63">
        <f>SIN(RADIANS(Tabla3[[#This Row],[Ángulo]]))</f>
        <v>0.7660444431189779</v>
      </c>
      <c r="E63">
        <f>TAN(RADIANS(Tabla3[[#This Row],[Ángulo]]))</f>
        <v>-1.1917535925942093</v>
      </c>
      <c r="F63" s="10">
        <f>ACOS(Tabla3[[#This Row],[COS]])</f>
        <v>2.2689280275926285</v>
      </c>
      <c r="G63" s="10">
        <f>DEGREES(Tabla3[[#This Row],[ACOS]])</f>
        <v>130</v>
      </c>
      <c r="H63" s="10">
        <f>ASIN(Tabla3[[#This Row],[SEN]])</f>
        <v>0.87266462599716466</v>
      </c>
      <c r="I63" s="10">
        <f>DEGREES(Tabla3[[#This Row],[ASEN]])</f>
        <v>49.999999999999993</v>
      </c>
      <c r="J63" s="10">
        <f>ATAN(Tabla3[[#This Row],[TG]])</f>
        <v>-0.87266462599716454</v>
      </c>
      <c r="K63" s="10">
        <f>DEGREES(Tabla3[[#This Row],[ATAN]])</f>
        <v>-49.999999999999986</v>
      </c>
    </row>
    <row r="64" spans="2:11" x14ac:dyDescent="0.25">
      <c r="B64">
        <f t="shared" si="0"/>
        <v>-240</v>
      </c>
      <c r="C64">
        <f>COS(RADIANS(Tabla3[[#This Row],[Ángulo]]))</f>
        <v>-0.50000000000000044</v>
      </c>
      <c r="D64">
        <f>SIN(RADIANS(Tabla3[[#This Row],[Ángulo]]))</f>
        <v>0.86602540378443837</v>
      </c>
      <c r="E64">
        <f>TAN(RADIANS(Tabla3[[#This Row],[Ángulo]]))</f>
        <v>-1.7320508075688754</v>
      </c>
      <c r="F64" s="10">
        <f>ACOS(Tabla3[[#This Row],[COS]])</f>
        <v>2.0943951023931962</v>
      </c>
      <c r="G64" s="10">
        <f>DEGREES(Tabla3[[#This Row],[ACOS]])</f>
        <v>120.00000000000004</v>
      </c>
      <c r="H64" s="10">
        <f>ASIN(Tabla3[[#This Row],[SEN]])</f>
        <v>1.0471975511965972</v>
      </c>
      <c r="I64" s="10">
        <f>DEGREES(Tabla3[[#This Row],[ASEN]])</f>
        <v>59.999999999999972</v>
      </c>
      <c r="J64" s="10">
        <f>ATAN(Tabla3[[#This Row],[TG]])</f>
        <v>-1.0471975511965972</v>
      </c>
      <c r="K64" s="10">
        <f>DEGREES(Tabla3[[#This Row],[ATAN]])</f>
        <v>-59.999999999999972</v>
      </c>
    </row>
    <row r="65" spans="2:11" x14ac:dyDescent="0.25">
      <c r="B65">
        <f t="shared" si="0"/>
        <v>-250</v>
      </c>
      <c r="C65">
        <f>COS(RADIANS(Tabla3[[#This Row],[Ángulo]]))</f>
        <v>-0.34202014332566855</v>
      </c>
      <c r="D65">
        <f>SIN(RADIANS(Tabla3[[#This Row],[Ángulo]]))</f>
        <v>0.93969262078590843</v>
      </c>
      <c r="E65">
        <f>TAN(RADIANS(Tabla3[[#This Row],[Ángulo]]))</f>
        <v>-2.7474774194546243</v>
      </c>
      <c r="F65" s="10">
        <f>ACOS(Tabla3[[#This Row],[COS]])</f>
        <v>1.9198621771937623</v>
      </c>
      <c r="G65" s="10">
        <f>DEGREES(Tabla3[[#This Row],[ACOS]])</f>
        <v>109.99999999999999</v>
      </c>
      <c r="H65" s="10">
        <f>ASIN(Tabla3[[#This Row],[SEN]])</f>
        <v>1.2217304763960308</v>
      </c>
      <c r="I65" s="10">
        <f>DEGREES(Tabla3[[#This Row],[ASEN]])</f>
        <v>70.000000000000014</v>
      </c>
      <c r="J65" s="10">
        <f>ATAN(Tabla3[[#This Row],[TG]])</f>
        <v>-1.2217304763960311</v>
      </c>
      <c r="K65" s="10">
        <f>DEGREES(Tabla3[[#This Row],[ATAN]])</f>
        <v>-70.000000000000028</v>
      </c>
    </row>
    <row r="66" spans="2:11" x14ac:dyDescent="0.25">
      <c r="B66">
        <f t="shared" si="0"/>
        <v>-260</v>
      </c>
      <c r="C66">
        <f>COS(RADIANS(Tabla3[[#This Row],[Ángulo]]))</f>
        <v>-0.17364817766693033</v>
      </c>
      <c r="D66">
        <f>SIN(RADIANS(Tabla3[[#This Row],[Ángulo]]))</f>
        <v>0.98480775301220802</v>
      </c>
      <c r="E66">
        <f>TAN(RADIANS(Tabla3[[#This Row],[Ángulo]]))</f>
        <v>-5.6712818196177102</v>
      </c>
      <c r="F66" s="10">
        <f>ACOS(Tabla3[[#This Row],[COS]])</f>
        <v>1.7453292519943295</v>
      </c>
      <c r="G66" s="10">
        <f>DEGREES(Tabla3[[#This Row],[ACOS]])</f>
        <v>100</v>
      </c>
      <c r="H66" s="10">
        <f>ASIN(Tabla3[[#This Row],[SEN]])</f>
        <v>1.3962634015954634</v>
      </c>
      <c r="I66" s="10">
        <f>DEGREES(Tabla3[[#This Row],[ASEN]])</f>
        <v>79.999999999999986</v>
      </c>
      <c r="J66" s="10">
        <f>ATAN(Tabla3[[#This Row],[TG]])</f>
        <v>-1.3962634015954636</v>
      </c>
      <c r="K66" s="10">
        <f>DEGREES(Tabla3[[#This Row],[ATAN]])</f>
        <v>-80</v>
      </c>
    </row>
    <row r="67" spans="2:11" x14ac:dyDescent="0.25">
      <c r="B67">
        <f>B66-10</f>
        <v>-270</v>
      </c>
      <c r="C67">
        <f>COS(RADIANS(Tabla3[[#This Row],[Ángulo]]))</f>
        <v>-1.83772268236293E-16</v>
      </c>
      <c r="D67">
        <f>SIN(RADIANS(Tabla3[[#This Row],[Ángulo]]))</f>
        <v>1</v>
      </c>
      <c r="E67">
        <f>TAN(RADIANS(Tabla3[[#This Row],[Ángulo]]))</f>
        <v>-5441517425873024</v>
      </c>
      <c r="F67" s="10">
        <f>ACOS(Tabla3[[#This Row],[COS]])</f>
        <v>1.5707963267948968</v>
      </c>
      <c r="G67" s="10">
        <f>DEGREES(Tabla3[[#This Row],[ACOS]])</f>
        <v>90.000000000000014</v>
      </c>
      <c r="H67" s="10">
        <f>ASIN(Tabla3[[#This Row],[SEN]])</f>
        <v>1.5707963267948966</v>
      </c>
      <c r="I67" s="10">
        <f>DEGREES(Tabla3[[#This Row],[ASEN]])</f>
        <v>90</v>
      </c>
      <c r="J67" s="10">
        <f>ATAN(Tabla3[[#This Row],[TG]])</f>
        <v>-1.5707963267948963</v>
      </c>
      <c r="K67" s="10">
        <f>DEGREES(Tabla3[[#This Row],[ATAN]])</f>
        <v>-89.999999999999986</v>
      </c>
    </row>
    <row r="68" spans="2:11" x14ac:dyDescent="0.25">
      <c r="B68">
        <f t="shared" si="0"/>
        <v>-280</v>
      </c>
      <c r="C68">
        <f>COS(RADIANS(Tabla3[[#This Row],[Ángulo]]))</f>
        <v>0.17364817766692997</v>
      </c>
      <c r="D68">
        <f>SIN(RADIANS(Tabla3[[#This Row],[Ángulo]]))</f>
        <v>0.98480775301220813</v>
      </c>
      <c r="E68">
        <f>TAN(RADIANS(Tabla3[[#This Row],[Ángulo]]))</f>
        <v>5.6712818196177226</v>
      </c>
      <c r="F68" s="10">
        <f>ACOS(Tabla3[[#This Row],[COS]])</f>
        <v>1.396263401595464</v>
      </c>
      <c r="G68" s="10">
        <f>DEGREES(Tabla3[[#This Row],[ACOS]])</f>
        <v>80.000000000000028</v>
      </c>
      <c r="H68" s="10">
        <f>ASIN(Tabla3[[#This Row],[SEN]])</f>
        <v>1.396263401595464</v>
      </c>
      <c r="I68" s="10">
        <f>DEGREES(Tabla3[[#This Row],[ASEN]])</f>
        <v>80.000000000000028</v>
      </c>
      <c r="J68" s="10">
        <f>ATAN(Tabla3[[#This Row],[TG]])</f>
        <v>1.396263401595464</v>
      </c>
      <c r="K68" s="10">
        <f>DEGREES(Tabla3[[#This Row],[ATAN]])</f>
        <v>80.000000000000028</v>
      </c>
    </row>
    <row r="69" spans="2:11" x14ac:dyDescent="0.25">
      <c r="B69">
        <f t="shared" si="0"/>
        <v>-290</v>
      </c>
      <c r="C69">
        <f>COS(RADIANS(Tabla3[[#This Row],[Ángulo]]))</f>
        <v>0.34202014332566899</v>
      </c>
      <c r="D69">
        <f>SIN(RADIANS(Tabla3[[#This Row],[Ángulo]]))</f>
        <v>0.93969262078590832</v>
      </c>
      <c r="E69">
        <f>TAN(RADIANS(Tabla3[[#This Row],[Ángulo]]))</f>
        <v>2.7474774194546199</v>
      </c>
      <c r="F69" s="10">
        <f>ACOS(Tabla3[[#This Row],[COS]])</f>
        <v>1.2217304763960304</v>
      </c>
      <c r="G69" s="10">
        <f>DEGREES(Tabla3[[#This Row],[ACOS]])</f>
        <v>69.999999999999986</v>
      </c>
      <c r="H69" s="10">
        <f>ASIN(Tabla3[[#This Row],[SEN]])</f>
        <v>1.2217304763960304</v>
      </c>
      <c r="I69" s="10">
        <f>DEGREES(Tabla3[[#This Row],[ASEN]])</f>
        <v>69.999999999999986</v>
      </c>
      <c r="J69" s="10">
        <f>ATAN(Tabla3[[#This Row],[TG]])</f>
        <v>1.2217304763960304</v>
      </c>
      <c r="K69" s="10">
        <f>DEGREES(Tabla3[[#This Row],[ATAN]])</f>
        <v>69.999999999999986</v>
      </c>
    </row>
    <row r="70" spans="2:11" x14ac:dyDescent="0.25">
      <c r="B70">
        <f>B69-10</f>
        <v>-300</v>
      </c>
      <c r="C70">
        <f>COS(RADIANS(Tabla3[[#This Row],[Ángulo]]))</f>
        <v>0.50000000000000011</v>
      </c>
      <c r="D70">
        <f>SIN(RADIANS(Tabla3[[#This Row],[Ángulo]]))</f>
        <v>0.8660254037844386</v>
      </c>
      <c r="E70">
        <f>TAN(RADIANS(Tabla3[[#This Row],[Ángulo]]))</f>
        <v>1.732050807568877</v>
      </c>
      <c r="F70" s="10">
        <f>ACOS(Tabla3[[#This Row],[COS]])</f>
        <v>1.0471975511965974</v>
      </c>
      <c r="G70" s="10">
        <f>DEGREES(Tabla3[[#This Row],[ACOS]])</f>
        <v>59.999999999999986</v>
      </c>
      <c r="H70" s="10">
        <f>ASIN(Tabla3[[#This Row],[SEN]])</f>
        <v>1.0471975511965976</v>
      </c>
      <c r="I70" s="10">
        <f>DEGREES(Tabla3[[#This Row],[ASEN]])</f>
        <v>59.999999999999993</v>
      </c>
      <c r="J70" s="10">
        <f>ATAN(Tabla3[[#This Row],[TG]])</f>
        <v>1.0471975511965976</v>
      </c>
      <c r="K70" s="10">
        <f>DEGREES(Tabla3[[#This Row],[ATAN]])</f>
        <v>59.999999999999993</v>
      </c>
    </row>
    <row r="71" spans="2:11" x14ac:dyDescent="0.25">
      <c r="B71">
        <f t="shared" si="0"/>
        <v>-310</v>
      </c>
      <c r="C71">
        <f>COS(RADIANS(Tabla3[[#This Row],[Ángulo]]))</f>
        <v>0.64278760968653925</v>
      </c>
      <c r="D71">
        <f>SIN(RADIANS(Tabla3[[#This Row],[Ángulo]]))</f>
        <v>0.76604444311897812</v>
      </c>
      <c r="E71">
        <f>TAN(RADIANS(Tabla3[[#This Row],[Ángulo]]))</f>
        <v>1.1917535925942102</v>
      </c>
      <c r="F71" s="10">
        <f>ACOS(Tabla3[[#This Row],[COS]])</f>
        <v>0.87266462599716488</v>
      </c>
      <c r="G71" s="10">
        <f>DEGREES(Tabla3[[#This Row],[ACOS]])</f>
        <v>50.000000000000007</v>
      </c>
      <c r="H71" s="10">
        <f>ASIN(Tabla3[[#This Row],[SEN]])</f>
        <v>0.87266462599716488</v>
      </c>
      <c r="I71" s="10">
        <f>DEGREES(Tabla3[[#This Row],[ASEN]])</f>
        <v>50.000000000000007</v>
      </c>
      <c r="J71" s="10">
        <f>ATAN(Tabla3[[#This Row],[TG]])</f>
        <v>0.87266462599716488</v>
      </c>
      <c r="K71" s="10">
        <f>DEGREES(Tabla3[[#This Row],[ATAN]])</f>
        <v>50.000000000000007</v>
      </c>
    </row>
    <row r="72" spans="2:11" x14ac:dyDescent="0.25">
      <c r="B72">
        <f t="shared" ref="B72:B76" si="1">B71-10</f>
        <v>-320</v>
      </c>
      <c r="C72">
        <f>COS(RADIANS(Tabla3[[#This Row],[Ángulo]]))</f>
        <v>0.76604444311897779</v>
      </c>
      <c r="D72">
        <f>SIN(RADIANS(Tabla3[[#This Row],[Ángulo]]))</f>
        <v>0.64278760968653958</v>
      </c>
      <c r="E72">
        <f>TAN(RADIANS(Tabla3[[#This Row],[Ángulo]]))</f>
        <v>0.83909963117728059</v>
      </c>
      <c r="F72" s="10">
        <f>ACOS(Tabla3[[#This Row],[COS]])</f>
        <v>0.69813170079773224</v>
      </c>
      <c r="G72" s="10">
        <f>DEGREES(Tabla3[[#This Row],[ACOS]])</f>
        <v>40.000000000000021</v>
      </c>
      <c r="H72" s="10">
        <f>ASIN(Tabla3[[#This Row],[SEN]])</f>
        <v>0.69813170079773212</v>
      </c>
      <c r="I72" s="10">
        <f>DEGREES(Tabla3[[#This Row],[ASEN]])</f>
        <v>40.000000000000021</v>
      </c>
      <c r="J72" s="10">
        <f>ATAN(Tabla3[[#This Row],[TG]])</f>
        <v>0.69813170079773212</v>
      </c>
      <c r="K72" s="10">
        <f>DEGREES(Tabla3[[#This Row],[ATAN]])</f>
        <v>40.000000000000021</v>
      </c>
    </row>
    <row r="73" spans="2:11" x14ac:dyDescent="0.25">
      <c r="B73">
        <f t="shared" si="1"/>
        <v>-330</v>
      </c>
      <c r="C73">
        <f>COS(RADIANS(Tabla3[[#This Row],[Ángulo]]))</f>
        <v>0.86602540378443837</v>
      </c>
      <c r="D73">
        <f>SIN(RADIANS(Tabla3[[#This Row],[Ángulo]]))</f>
        <v>0.50000000000000044</v>
      </c>
      <c r="E73">
        <f>TAN(RADIANS(Tabla3[[#This Row],[Ángulo]]))</f>
        <v>0.57735026918962651</v>
      </c>
      <c r="F73" s="10">
        <f>ACOS(Tabla3[[#This Row],[COS]])</f>
        <v>0.52359877559829937</v>
      </c>
      <c r="G73" s="10">
        <f>DEGREES(Tabla3[[#This Row],[ACOS]])</f>
        <v>30.000000000000028</v>
      </c>
      <c r="H73" s="10">
        <f>ASIN(Tabla3[[#This Row],[SEN]])</f>
        <v>0.52359877559829948</v>
      </c>
      <c r="I73" s="10">
        <f>DEGREES(Tabla3[[#This Row],[ASEN]])</f>
        <v>30.000000000000036</v>
      </c>
      <c r="J73" s="10">
        <f>ATAN(Tabla3[[#This Row],[TG]])</f>
        <v>0.52359877559829948</v>
      </c>
      <c r="K73" s="10">
        <f>DEGREES(Tabla3[[#This Row],[ATAN]])</f>
        <v>30.000000000000036</v>
      </c>
    </row>
    <row r="74" spans="2:11" x14ac:dyDescent="0.25">
      <c r="B74">
        <f t="shared" si="1"/>
        <v>-340</v>
      </c>
      <c r="C74">
        <f>COS(RADIANS(Tabla3[[#This Row],[Ángulo]]))</f>
        <v>0.93969262078590843</v>
      </c>
      <c r="D74">
        <f>SIN(RADIANS(Tabla3[[#This Row],[Ángulo]]))</f>
        <v>0.3420201433256686</v>
      </c>
      <c r="E74">
        <f>TAN(RADIANS(Tabla3[[#This Row],[Ángulo]]))</f>
        <v>0.36397023426620218</v>
      </c>
      <c r="F74" s="10">
        <f>ACOS(Tabla3[[#This Row],[COS]])</f>
        <v>0.34906585039886573</v>
      </c>
      <c r="G74" s="10">
        <f>DEGREES(Tabla3[[#This Row],[ACOS]])</f>
        <v>19.999999999999989</v>
      </c>
      <c r="H74" s="10">
        <f>ASIN(Tabla3[[#This Row],[SEN]])</f>
        <v>0.34906585039886578</v>
      </c>
      <c r="I74" s="10">
        <f>DEGREES(Tabla3[[#This Row],[ASEN]])</f>
        <v>19.999999999999993</v>
      </c>
      <c r="J74" s="10">
        <f>ATAN(Tabla3[[#This Row],[TG]])</f>
        <v>0.34906585039886573</v>
      </c>
      <c r="K74" s="10">
        <f>DEGREES(Tabla3[[#This Row],[ATAN]])</f>
        <v>19.999999999999989</v>
      </c>
    </row>
    <row r="75" spans="2:11" x14ac:dyDescent="0.25">
      <c r="B75">
        <f t="shared" si="1"/>
        <v>-350</v>
      </c>
      <c r="C75">
        <f>COS(RADIANS(Tabla3[[#This Row],[Ángulo]]))</f>
        <v>0.98480775301220802</v>
      </c>
      <c r="D75">
        <f>SIN(RADIANS(Tabla3[[#This Row],[Ángulo]]))</f>
        <v>0.17364817766693039</v>
      </c>
      <c r="E75">
        <f>TAN(RADIANS(Tabla3[[#This Row],[Ángulo]]))</f>
        <v>0.176326980708465</v>
      </c>
      <c r="F75" s="10">
        <f>ACOS(Tabla3[[#This Row],[COS]])</f>
        <v>0.1745329251994332</v>
      </c>
      <c r="G75" s="10">
        <f>DEGREES(Tabla3[[#This Row],[ACOS]])</f>
        <v>10.000000000000014</v>
      </c>
      <c r="H75" s="10">
        <f>ASIN(Tabla3[[#This Row],[SEN]])</f>
        <v>0.174532925199433</v>
      </c>
      <c r="I75" s="10">
        <f>DEGREES(Tabla3[[#This Row],[ASEN]])</f>
        <v>10.000000000000004</v>
      </c>
      <c r="J75" s="10">
        <f>ATAN(Tabla3[[#This Row],[TG]])</f>
        <v>0.17453292519943298</v>
      </c>
      <c r="K75" s="10">
        <f>DEGREES(Tabla3[[#This Row],[ATAN]])</f>
        <v>10.000000000000002</v>
      </c>
    </row>
    <row r="76" spans="2:11" x14ac:dyDescent="0.25">
      <c r="B76">
        <f t="shared" si="1"/>
        <v>-360</v>
      </c>
      <c r="C76">
        <f>COS(RADIANS(Tabla3[[#This Row],[Ángulo]]))</f>
        <v>1</v>
      </c>
      <c r="D76">
        <f>SIN(RADIANS(Tabla3[[#This Row],[Ángulo]]))</f>
        <v>2.45029690981724E-16</v>
      </c>
      <c r="E76">
        <f>TAN(RADIANS(Tabla3[[#This Row],[Ángulo]]))</f>
        <v>2.45029690981724E-16</v>
      </c>
      <c r="F76" s="10">
        <f>ACOS(Tabla3[[#This Row],[COS]])</f>
        <v>0</v>
      </c>
      <c r="G76" s="10">
        <f>DEGREES(Tabla3[[#This Row],[ACOS]])</f>
        <v>0</v>
      </c>
      <c r="H76" s="10">
        <f>ASIN(Tabla3[[#This Row],[SEN]])</f>
        <v>2.45029690981724E-16</v>
      </c>
      <c r="I76" s="10">
        <f>DEGREES(Tabla3[[#This Row],[ASEN]])</f>
        <v>1.4039167148647554E-14</v>
      </c>
      <c r="J76" s="10">
        <f>ATAN(Tabla3[[#This Row],[TG]])</f>
        <v>2.45029690981724E-16</v>
      </c>
      <c r="K76" s="10">
        <f>DEGREES(Tabla3[[#This Row],[ATAN]])</f>
        <v>1.4039167148647554E-14</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Datos-Resultado</vt:lpstr>
      <vt:lpstr>Operaciones</vt:lpstr>
      <vt:lpstr>Recorridos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2018-06-14T08:07:45Z</dcterms:modified>
</cp:coreProperties>
</file>